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7.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8.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chart30.xml" ContentType="application/vnd.openxmlformats-officedocument.drawingml.chart+xml"/>
  <Override PartName="/xl/charts/style29.xml" ContentType="application/vnd.ms-office.chartstyle+xml"/>
  <Override PartName="/xl/charts/colors2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C:\Users\Renate.Kundzina\Documents\2017.gads\Pārskati\SPSIL\"/>
    </mc:Choice>
  </mc:AlternateContent>
  <xr:revisionPtr revIDLastSave="0" documentId="13_ncr:1_{C6A5D6E7-38B8-418A-B0EB-3A0B1A3F18B0}" xr6:coauthVersionLast="43" xr6:coauthVersionMax="43" xr10:uidLastSave="{00000000-0000-0000-0000-000000000000}"/>
  <bookViews>
    <workbookView xWindow="2325" yWindow="1020" windowWidth="25470" windowHeight="15210" firstSheet="9" activeTab="12" xr2:uid="{00000000-000D-0000-FFFF-FFFF00000000}"/>
  </bookViews>
  <sheets>
    <sheet name="SPSIL_2016_gads" sheetId="22" r:id="rId1"/>
    <sheet name="Satura_rādītājs_metodoloģija" sheetId="20" r:id="rId2"/>
    <sheet name="I_Kopā_2016" sheetId="1" r:id="rId3"/>
    <sheet name="II_Dinamika_sps_skaits_kopā_sum" sheetId="2" r:id="rId4"/>
    <sheet name="II_Kopējā_dinamika" sheetId="8" r:id="rId5"/>
    <sheet name="III_Virs_ES_Tab_2012_2016" sheetId="10" r:id="rId6"/>
    <sheet name="III_Virs_ES_iep_veidi_Tab_Din" sheetId="12" r:id="rId7"/>
    <sheet name="III_Virs_ES_procedūras_Tab" sheetId="19" r:id="rId8"/>
    <sheet name="III_Virs_ES_līgumu_vis.vien_Din" sheetId="11" r:id="rId9"/>
    <sheet name="III_Virs_ES_CPV_kodu_sadalījums" sheetId="16" r:id="rId10"/>
    <sheet name="III_Virs_ES_ārvalstnieki_Tab" sheetId="14" r:id="rId11"/>
    <sheet name="III_Virs_ES_ārvalstnieki_Din" sheetId="15" r:id="rId12"/>
    <sheet name="IV_Zem_Tab" sheetId="17" r:id="rId13"/>
    <sheet name="IV_Zem_Din" sheetId="18" r:id="rId14"/>
    <sheet name="V_Izņēmumi_Tab" sheetId="7" r:id="rId15"/>
    <sheet name="V_Izņēmumi_Din" sheetId="9" r:id="rId16"/>
    <sheet name="Duālo_pasūtītāju_saraksts" sheetId="6" r:id="rId17"/>
    <sheet name="Virs_ES_saraksts" sheetId="13" r:id="rId18"/>
    <sheet name="Secinājumi" sheetId="21" r:id="rId19"/>
    <sheet name="Sheet1" sheetId="23" r:id="rId20"/>
    <sheet name="Sheet2" sheetId="24" r:id="rId21"/>
  </sheets>
  <definedNames>
    <definedName name="_xlnm._FilterDatabase" localSheetId="10" hidden="1">III_Virs_ES_ārvalstnieki_Tab!$A$3:$L$33</definedName>
    <definedName name="_xlnm._FilterDatabase" localSheetId="5" hidden="1">III_Virs_ES_Tab_2012_2016!$A$4:$AM$24</definedName>
    <definedName name="_xlchart.v3.0" hidden="1">III_Virs_ES_ārvalstnieki_Din!$A$42:$B$67</definedName>
    <definedName name="_xlchart.v3.1" hidden="1">III_Virs_ES_ārvalstnieki_Din!$C$42:$C$67</definedName>
    <definedName name="_xlchart.v3.2" hidden="1">III_Virs_ES_ārvalstnieki_Din!$D$42:$D$67</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5" i="7" l="1"/>
  <c r="E48" i="7"/>
  <c r="AG25" i="10" l="1"/>
  <c r="AE25" i="10"/>
  <c r="AC25" i="10"/>
  <c r="AA25" i="10"/>
  <c r="Y25" i="10"/>
  <c r="X25" i="10"/>
  <c r="W25" i="10"/>
  <c r="U25" i="10"/>
  <c r="S25" i="10"/>
  <c r="Q25" i="10"/>
  <c r="P25" i="10"/>
  <c r="O25" i="10"/>
  <c r="M25" i="10"/>
  <c r="L25" i="10"/>
  <c r="K25" i="10"/>
  <c r="I25" i="10"/>
  <c r="G25" i="10"/>
  <c r="E25" i="10"/>
  <c r="D25" i="10"/>
  <c r="C25" i="10"/>
  <c r="G42" i="19" l="1"/>
  <c r="G40" i="19"/>
  <c r="G38" i="19"/>
  <c r="G36" i="19"/>
  <c r="G34" i="19"/>
  <c r="G30" i="19"/>
  <c r="G32" i="19"/>
  <c r="E8" i="9" l="1"/>
  <c r="L56" i="7"/>
  <c r="L55" i="7"/>
  <c r="L54" i="7"/>
  <c r="L53" i="7"/>
  <c r="N40" i="7"/>
  <c r="M40" i="7"/>
  <c r="N43" i="7"/>
  <c r="M43" i="7"/>
  <c r="N39" i="7"/>
  <c r="M39" i="7"/>
  <c r="F48" i="7"/>
  <c r="I25" i="7"/>
  <c r="G25" i="7"/>
  <c r="P9" i="7"/>
  <c r="O9" i="7"/>
  <c r="Q9" i="7" s="1"/>
  <c r="D99" i="18"/>
  <c r="C99" i="18"/>
  <c r="B99" i="18"/>
  <c r="D100" i="18"/>
  <c r="C100" i="18"/>
  <c r="B100" i="18"/>
  <c r="D101" i="18"/>
  <c r="C101" i="18"/>
  <c r="B101" i="18"/>
  <c r="D102" i="18"/>
  <c r="C102" i="18"/>
  <c r="B102" i="18"/>
  <c r="D103" i="18"/>
  <c r="C103" i="18"/>
  <c r="B103" i="18"/>
  <c r="D104" i="18"/>
  <c r="C104" i="18"/>
  <c r="B104" i="18"/>
  <c r="D105" i="18"/>
  <c r="C105" i="18"/>
  <c r="B105" i="18"/>
  <c r="D106" i="18"/>
  <c r="C106" i="18"/>
  <c r="B106" i="18"/>
  <c r="I41" i="18"/>
  <c r="I40" i="18"/>
  <c r="I39" i="18"/>
  <c r="C68" i="15" l="1"/>
  <c r="D66" i="15" s="1"/>
  <c r="D45" i="15" l="1"/>
  <c r="D49" i="15"/>
  <c r="D43" i="15"/>
  <c r="D47" i="15"/>
  <c r="D51" i="15"/>
  <c r="D55" i="15"/>
  <c r="D59" i="15"/>
  <c r="D63" i="15"/>
  <c r="D67" i="15"/>
  <c r="D44" i="15"/>
  <c r="D48" i="15"/>
  <c r="D52" i="15"/>
  <c r="D56" i="15"/>
  <c r="D60" i="15"/>
  <c r="D64" i="15"/>
  <c r="D53" i="15"/>
  <c r="D57" i="15"/>
  <c r="D61" i="15"/>
  <c r="D65" i="15"/>
  <c r="D42" i="15"/>
  <c r="D46" i="15"/>
  <c r="D50" i="15"/>
  <c r="D54" i="15"/>
  <c r="D58" i="15"/>
  <c r="D62" i="15"/>
  <c r="C8" i="15"/>
  <c r="C5" i="15"/>
  <c r="B57" i="14" l="1"/>
  <c r="C57" i="14"/>
  <c r="C23" i="16"/>
  <c r="D16" i="16" s="1"/>
  <c r="G23" i="16"/>
  <c r="H22" i="16" s="1"/>
  <c r="E23" i="16"/>
  <c r="C7" i="12"/>
  <c r="B7" i="12"/>
  <c r="H13" i="16" l="1"/>
  <c r="H16" i="16"/>
  <c r="D17" i="16"/>
  <c r="D14" i="16"/>
  <c r="H6" i="16"/>
  <c r="H14" i="16"/>
  <c r="H20" i="16"/>
  <c r="H21" i="16"/>
  <c r="D22" i="16"/>
  <c r="D20" i="16"/>
  <c r="H5" i="16"/>
  <c r="H15" i="16"/>
  <c r="H12" i="16"/>
  <c r="H17" i="16"/>
  <c r="M17" i="19" l="1"/>
  <c r="M16" i="19"/>
  <c r="K19" i="19"/>
  <c r="L19" i="19"/>
  <c r="M15" i="19" s="1"/>
  <c r="M18" i="19" l="1"/>
  <c r="M19" i="19" s="1"/>
  <c r="B36" i="11"/>
  <c r="G8" i="11"/>
  <c r="D36" i="11" s="1"/>
  <c r="H132" i="12"/>
  <c r="C146" i="12" s="1"/>
  <c r="H131" i="12"/>
  <c r="C145" i="12" s="1"/>
  <c r="H130" i="12"/>
  <c r="C144" i="12" s="1"/>
  <c r="H129" i="12"/>
  <c r="C143" i="12" s="1"/>
  <c r="H128" i="12"/>
  <c r="C142" i="12" s="1"/>
  <c r="H127" i="12"/>
  <c r="C141" i="12" s="1"/>
  <c r="H126" i="12"/>
  <c r="C140" i="12" s="1"/>
  <c r="H125" i="12"/>
  <c r="C139" i="12" s="1"/>
  <c r="H91" i="12"/>
  <c r="H90" i="12"/>
  <c r="H89" i="12"/>
  <c r="H67" i="12"/>
  <c r="H66" i="12"/>
  <c r="H65" i="12"/>
  <c r="I65" i="12"/>
  <c r="I66" i="12"/>
  <c r="I67" i="12"/>
  <c r="AI29" i="10"/>
  <c r="AI28" i="10"/>
  <c r="AK29" i="10"/>
  <c r="AL29" i="10" s="1"/>
  <c r="AK28" i="10"/>
  <c r="AL28" i="10" s="1"/>
  <c r="AK27" i="10"/>
  <c r="AL27" i="10" s="1"/>
  <c r="AI27" i="10"/>
  <c r="AI25" i="10" s="1"/>
  <c r="AK25" i="10" l="1"/>
  <c r="AL25" i="10" s="1"/>
  <c r="F8" i="11"/>
  <c r="D8" i="11"/>
  <c r="H208" i="8"/>
  <c r="C63" i="8"/>
  <c r="B63" i="8"/>
  <c r="C120" i="8"/>
  <c r="B120" i="8"/>
  <c r="H48" i="2"/>
  <c r="H30" i="2"/>
  <c r="F33" i="13"/>
  <c r="F30" i="13"/>
  <c r="F31" i="13"/>
  <c r="F28" i="13"/>
  <c r="F26" i="13"/>
  <c r="F25" i="13"/>
  <c r="F24" i="13"/>
  <c r="F23" i="13"/>
  <c r="F22" i="13"/>
  <c r="F21" i="13"/>
  <c r="F20" i="13"/>
  <c r="F19" i="13"/>
  <c r="F18" i="13"/>
  <c r="F16" i="13"/>
  <c r="F15" i="13"/>
  <c r="F14" i="13"/>
  <c r="F12" i="13"/>
  <c r="F10" i="13"/>
  <c r="F9" i="13"/>
  <c r="F8" i="13"/>
  <c r="F5" i="13"/>
  <c r="F29" i="1" l="1"/>
  <c r="M39" i="1"/>
  <c r="M38" i="1"/>
  <c r="M37" i="1"/>
  <c r="L37" i="1"/>
  <c r="K37" i="1"/>
  <c r="J37" i="1"/>
  <c r="F45" i="1"/>
  <c r="G208" i="8"/>
  <c r="F208" i="8"/>
  <c r="E208" i="8"/>
  <c r="D208" i="8"/>
  <c r="C208" i="8"/>
  <c r="B208" i="8"/>
  <c r="B115" i="8"/>
  <c r="B116" i="8"/>
  <c r="B117" i="8"/>
  <c r="B118" i="8"/>
  <c r="B119" i="8"/>
  <c r="C115" i="8"/>
  <c r="C116" i="8"/>
  <c r="C117" i="8"/>
  <c r="C118" i="8"/>
  <c r="C119" i="8"/>
  <c r="B60" i="8" l="1"/>
  <c r="B61" i="8"/>
  <c r="B62" i="8"/>
  <c r="C60" i="8"/>
  <c r="C61" i="8"/>
  <c r="C62" i="8"/>
  <c r="AG5" i="10" l="1"/>
  <c r="AC5" i="10"/>
  <c r="Y5" i="10"/>
  <c r="U5" i="10"/>
  <c r="Q5" i="10"/>
  <c r="M5" i="10"/>
  <c r="I5" i="10"/>
  <c r="E5" i="10"/>
  <c r="AE5" i="10"/>
  <c r="AA5" i="10"/>
  <c r="W5" i="10"/>
  <c r="S5" i="10"/>
  <c r="O5" i="10"/>
  <c r="K5" i="10"/>
  <c r="G5" i="10"/>
  <c r="C5" i="10"/>
  <c r="AE10" i="10"/>
  <c r="AG10" i="10"/>
  <c r="AC10" i="10"/>
  <c r="AA10" i="10"/>
  <c r="K10" i="10"/>
  <c r="O10" i="10"/>
  <c r="S10" i="10"/>
  <c r="W10" i="10"/>
  <c r="Y10" i="10"/>
  <c r="U10" i="10"/>
  <c r="Q10" i="10"/>
  <c r="M10" i="10"/>
  <c r="I10" i="10"/>
  <c r="G10" i="10"/>
  <c r="C10" i="10"/>
  <c r="E10" i="10"/>
  <c r="E45" i="1" l="1"/>
  <c r="D45" i="1"/>
  <c r="C45" i="1"/>
  <c r="B45" i="1"/>
  <c r="L44" i="1"/>
  <c r="K44" i="1"/>
  <c r="J44" i="1"/>
  <c r="K43" i="1"/>
  <c r="J43" i="1"/>
  <c r="J42" i="1"/>
  <c r="K42" i="1"/>
  <c r="L42" i="1"/>
  <c r="K41" i="1"/>
  <c r="J41" i="1"/>
  <c r="K40" i="1"/>
  <c r="K39" i="1"/>
  <c r="K38" i="1"/>
  <c r="G28" i="1"/>
  <c r="G27" i="1"/>
  <c r="G26" i="1"/>
  <c r="G25" i="1"/>
  <c r="G24" i="1"/>
  <c r="G23" i="1"/>
  <c r="G22" i="1"/>
  <c r="E28" i="1"/>
  <c r="E27" i="1"/>
  <c r="E26" i="1"/>
  <c r="E25" i="1"/>
  <c r="E24" i="1"/>
  <c r="E23" i="1"/>
  <c r="E22" i="1"/>
  <c r="C28" i="1"/>
  <c r="C27" i="1"/>
  <c r="C26" i="1"/>
  <c r="C25" i="1"/>
  <c r="C24" i="1"/>
  <c r="C23" i="1"/>
  <c r="C22" i="1"/>
  <c r="H21" i="1"/>
  <c r="C21" i="1" s="1"/>
  <c r="D29" i="1"/>
  <c r="B29" i="1"/>
  <c r="G45" i="1" l="1"/>
  <c r="K45" i="1" s="1"/>
  <c r="E21" i="1"/>
  <c r="G21" i="1"/>
  <c r="H29" i="1"/>
  <c r="M40" i="1"/>
  <c r="L40" i="1"/>
  <c r="L38" i="1"/>
  <c r="L39" i="1"/>
  <c r="J40" i="1"/>
  <c r="J38" i="1"/>
  <c r="J39" i="1"/>
  <c r="J45" i="1"/>
  <c r="L41" i="1"/>
  <c r="L43" i="1"/>
  <c r="D159" i="12"/>
  <c r="C159" i="12"/>
  <c r="B159" i="12"/>
  <c r="D158" i="12"/>
  <c r="C158" i="12"/>
  <c r="B158" i="12"/>
  <c r="D157" i="12"/>
  <c r="C157" i="12"/>
  <c r="B157" i="12"/>
  <c r="D156" i="12"/>
  <c r="C156" i="12"/>
  <c r="B156" i="12"/>
  <c r="D155" i="12"/>
  <c r="C155" i="12"/>
  <c r="B155" i="12"/>
  <c r="D154" i="12"/>
  <c r="C154" i="12"/>
  <c r="B154" i="12"/>
  <c r="D153" i="12"/>
  <c r="C153" i="12"/>
  <c r="B153" i="12"/>
  <c r="B152" i="12"/>
  <c r="C152" i="12"/>
  <c r="D152" i="12"/>
  <c r="D146" i="12"/>
  <c r="D145" i="12"/>
  <c r="D144" i="12"/>
  <c r="D143" i="12"/>
  <c r="D142" i="12"/>
  <c r="D141" i="12"/>
  <c r="D140" i="12"/>
  <c r="D139" i="12"/>
  <c r="C29" i="1" l="1"/>
  <c r="E29" i="1"/>
  <c r="G29" i="1"/>
  <c r="I45" i="1"/>
  <c r="M45" i="1" s="1"/>
  <c r="H45" i="1"/>
  <c r="L45" i="1" s="1"/>
  <c r="F133" i="12"/>
  <c r="G131" i="12" s="1"/>
  <c r="D133" i="12"/>
  <c r="E132" i="12" s="1"/>
  <c r="B133" i="12"/>
  <c r="C130" i="12" s="1"/>
  <c r="G118" i="12"/>
  <c r="E118" i="12"/>
  <c r="C118" i="12"/>
  <c r="G117" i="12"/>
  <c r="E117" i="12"/>
  <c r="C117" i="12"/>
  <c r="G116" i="12"/>
  <c r="E116" i="12"/>
  <c r="C116" i="12"/>
  <c r="G115" i="12"/>
  <c r="E115" i="12"/>
  <c r="C115" i="12"/>
  <c r="G114" i="12"/>
  <c r="E114" i="12"/>
  <c r="C114" i="12"/>
  <c r="G113" i="12"/>
  <c r="E113" i="12"/>
  <c r="C113" i="12"/>
  <c r="G112" i="12"/>
  <c r="E112" i="12"/>
  <c r="C112" i="12"/>
  <c r="G111" i="12"/>
  <c r="E111" i="12"/>
  <c r="C111" i="12"/>
  <c r="F119" i="12"/>
  <c r="D119" i="12"/>
  <c r="B119" i="12"/>
  <c r="H133" i="12"/>
  <c r="I91" i="12"/>
  <c r="J91" i="12" s="1"/>
  <c r="F100" i="12" s="1"/>
  <c r="I90" i="12"/>
  <c r="J90" i="12" s="1"/>
  <c r="F99" i="12" s="1"/>
  <c r="I89" i="12"/>
  <c r="J89" i="12" s="1"/>
  <c r="F98" i="12" s="1"/>
  <c r="G90" i="12"/>
  <c r="G91" i="12"/>
  <c r="G89" i="12"/>
  <c r="D90" i="12"/>
  <c r="D91" i="12"/>
  <c r="D89" i="12"/>
  <c r="F92" i="12"/>
  <c r="E92" i="12"/>
  <c r="C92" i="12"/>
  <c r="B92" i="12"/>
  <c r="J67" i="12"/>
  <c r="F76" i="12" s="1"/>
  <c r="J66" i="12"/>
  <c r="F75" i="12" s="1"/>
  <c r="J65" i="12"/>
  <c r="F74" i="12" s="1"/>
  <c r="G67" i="12"/>
  <c r="G66" i="12"/>
  <c r="G65" i="12"/>
  <c r="F68" i="12"/>
  <c r="E68" i="12"/>
  <c r="D67" i="12"/>
  <c r="D66" i="12"/>
  <c r="D65" i="12"/>
  <c r="H92" i="12" l="1"/>
  <c r="H119" i="12"/>
  <c r="C147" i="12" s="1"/>
  <c r="D147" i="12" s="1"/>
  <c r="I92" i="12"/>
  <c r="G125" i="12"/>
  <c r="G132" i="12"/>
  <c r="G128" i="12"/>
  <c r="E125" i="12"/>
  <c r="G129" i="12"/>
  <c r="E129" i="12"/>
  <c r="C131" i="12"/>
  <c r="E126" i="12"/>
  <c r="C128" i="12"/>
  <c r="C132" i="12"/>
  <c r="E127" i="12"/>
  <c r="E131" i="12"/>
  <c r="G126" i="12"/>
  <c r="G130" i="12"/>
  <c r="C127" i="12"/>
  <c r="E130" i="12"/>
  <c r="C125" i="12"/>
  <c r="C129" i="12"/>
  <c r="E128" i="12"/>
  <c r="G127" i="12"/>
  <c r="C126" i="12"/>
  <c r="G68" i="12"/>
  <c r="D92" i="12"/>
  <c r="G92" i="12"/>
  <c r="C68" i="12"/>
  <c r="I68" i="12" s="1"/>
  <c r="B68" i="12"/>
  <c r="H68" i="12" s="1"/>
  <c r="B17" i="12"/>
  <c r="C14" i="12" s="1"/>
  <c r="D6" i="12"/>
  <c r="D5" i="12"/>
  <c r="D4" i="12"/>
  <c r="C119" i="12" l="1"/>
  <c r="G119" i="12"/>
  <c r="E119" i="12"/>
  <c r="J92" i="12"/>
  <c r="F101" i="12" s="1"/>
  <c r="D7" i="12"/>
  <c r="C15" i="12"/>
  <c r="C16" i="12"/>
  <c r="G133" i="12"/>
  <c r="E133" i="12"/>
  <c r="C133" i="12"/>
  <c r="D68" i="12"/>
  <c r="J68" i="12"/>
  <c r="F77" i="12" s="1"/>
  <c r="D33" i="11"/>
  <c r="C33" i="11"/>
  <c r="B33" i="11"/>
  <c r="B34" i="11"/>
  <c r="B35" i="11"/>
  <c r="F4" i="11"/>
  <c r="D4" i="11"/>
  <c r="F5" i="11"/>
  <c r="D5" i="11"/>
  <c r="C17" i="12" l="1"/>
  <c r="H8" i="19"/>
  <c r="H7" i="19"/>
  <c r="H6" i="19"/>
  <c r="H10" i="19" s="1"/>
  <c r="F10" i="19"/>
  <c r="I10" i="19"/>
  <c r="J6" i="19" s="1"/>
  <c r="I9" i="19"/>
  <c r="J8" i="19" s="1"/>
  <c r="C9" i="19"/>
  <c r="F42" i="19"/>
  <c r="B42" i="19"/>
  <c r="F40" i="19"/>
  <c r="D40" i="19"/>
  <c r="B40" i="19"/>
  <c r="F38" i="19"/>
  <c r="D38" i="19"/>
  <c r="B38" i="19"/>
  <c r="F36" i="19"/>
  <c r="D36" i="19"/>
  <c r="B36" i="19"/>
  <c r="F34" i="19"/>
  <c r="D34" i="19"/>
  <c r="B34" i="19"/>
  <c r="F32" i="19"/>
  <c r="D32" i="19"/>
  <c r="B32" i="19"/>
  <c r="F30" i="19"/>
  <c r="D30" i="19"/>
  <c r="B30" i="19"/>
  <c r="B28" i="19"/>
  <c r="F28" i="19"/>
  <c r="D8" i="19" l="1"/>
  <c r="D7" i="19"/>
  <c r="H38" i="19"/>
  <c r="H40" i="19"/>
  <c r="H32" i="19"/>
  <c r="H30" i="19"/>
  <c r="H36" i="19"/>
  <c r="H34" i="19"/>
  <c r="H42" i="19"/>
  <c r="H28" i="19"/>
  <c r="J7" i="19"/>
  <c r="J5" i="19"/>
  <c r="J9" i="19"/>
  <c r="C10" i="19"/>
  <c r="D9" i="19" s="1"/>
  <c r="I44" i="19"/>
  <c r="G44" i="19"/>
  <c r="E44" i="19"/>
  <c r="C44" i="19"/>
  <c r="A44" i="19"/>
  <c r="F44" i="19" l="1"/>
  <c r="D6" i="19"/>
  <c r="J36" i="19"/>
  <c r="J28" i="19"/>
  <c r="J42" i="19"/>
  <c r="J34" i="19"/>
  <c r="J38" i="19"/>
  <c r="J30" i="19"/>
  <c r="J40" i="19"/>
  <c r="J32" i="19"/>
  <c r="D5" i="19"/>
  <c r="D10" i="19" s="1"/>
  <c r="B44" i="19"/>
  <c r="D44" i="19"/>
  <c r="J10" i="19"/>
  <c r="H44" i="19" l="1"/>
  <c r="J44" i="19"/>
  <c r="H32" i="17"/>
  <c r="G32" i="17" s="1"/>
  <c r="H31" i="17"/>
  <c r="E31" i="17" s="1"/>
  <c r="H30" i="17"/>
  <c r="G30" i="17" s="1"/>
  <c r="H29" i="17"/>
  <c r="E29" i="17" s="1"/>
  <c r="H28" i="17"/>
  <c r="C28" i="17" s="1"/>
  <c r="H27" i="17"/>
  <c r="G27" i="17" s="1"/>
  <c r="H26" i="17"/>
  <c r="G26" i="17" s="1"/>
  <c r="H25" i="17"/>
  <c r="G25" i="17" s="1"/>
  <c r="F33" i="17"/>
  <c r="D33" i="17"/>
  <c r="B33" i="17"/>
  <c r="F20" i="17"/>
  <c r="G16" i="17" s="1"/>
  <c r="B20" i="17"/>
  <c r="C19" i="17" s="1"/>
  <c r="D20" i="17"/>
  <c r="E16" i="17" s="1"/>
  <c r="C32" i="17" l="1"/>
  <c r="E32" i="17"/>
  <c r="G31" i="17"/>
  <c r="C31" i="17"/>
  <c r="E30" i="17"/>
  <c r="C30" i="17"/>
  <c r="G29" i="17"/>
  <c r="C29" i="17"/>
  <c r="E28" i="17"/>
  <c r="G28" i="17"/>
  <c r="C27" i="17"/>
  <c r="E27" i="17"/>
  <c r="C26" i="17"/>
  <c r="E26" i="17"/>
  <c r="H33" i="17"/>
  <c r="G33" i="17" s="1"/>
  <c r="C25" i="17"/>
  <c r="E25" i="17"/>
  <c r="C18" i="17"/>
  <c r="E13" i="17"/>
  <c r="E17" i="17"/>
  <c r="C14" i="17"/>
  <c r="G15" i="17"/>
  <c r="G13" i="17"/>
  <c r="G17" i="17"/>
  <c r="G14" i="17"/>
  <c r="G18" i="17"/>
  <c r="G19" i="17"/>
  <c r="G12" i="17"/>
  <c r="E15" i="17"/>
  <c r="E19" i="17"/>
  <c r="E14" i="17"/>
  <c r="E18" i="17"/>
  <c r="E12" i="17"/>
  <c r="C12" i="17"/>
  <c r="C16" i="17"/>
  <c r="C13" i="17"/>
  <c r="C17" i="17"/>
  <c r="C15" i="17"/>
  <c r="B12" i="18"/>
  <c r="C10" i="18" s="1"/>
  <c r="E6" i="17"/>
  <c r="E5" i="17"/>
  <c r="E4" i="17"/>
  <c r="C7" i="17"/>
  <c r="D4" i="17" s="1"/>
  <c r="B7" i="17"/>
  <c r="D13" i="16"/>
  <c r="H10" i="16"/>
  <c r="C33" i="17" l="1"/>
  <c r="E33" i="17"/>
  <c r="G20" i="17"/>
  <c r="E20" i="17"/>
  <c r="C20" i="17"/>
  <c r="D5" i="17"/>
  <c r="E7" i="17"/>
  <c r="D6" i="17"/>
  <c r="F15" i="16"/>
  <c r="F17" i="16"/>
  <c r="F22" i="16"/>
  <c r="F16" i="16"/>
  <c r="F14" i="16"/>
  <c r="F20" i="16"/>
  <c r="F13" i="16"/>
  <c r="F18" i="16"/>
  <c r="F5" i="16"/>
  <c r="H8" i="16"/>
  <c r="F11" i="16"/>
  <c r="F6" i="16"/>
  <c r="F10" i="16"/>
  <c r="F4" i="16"/>
  <c r="F21" i="16"/>
  <c r="H9" i="16"/>
  <c r="H18" i="16"/>
  <c r="H4" i="16"/>
  <c r="H19" i="16"/>
  <c r="H11" i="16"/>
  <c r="H7" i="16"/>
  <c r="F7" i="16"/>
  <c r="F9" i="16"/>
  <c r="F19" i="16"/>
  <c r="F8" i="16"/>
  <c r="F12" i="16"/>
  <c r="D18" i="16"/>
  <c r="D11" i="16"/>
  <c r="D6" i="16"/>
  <c r="D10" i="16"/>
  <c r="D7" i="16"/>
  <c r="D9" i="16"/>
  <c r="D19" i="16"/>
  <c r="D4" i="16"/>
  <c r="D21" i="16"/>
  <c r="D5" i="16"/>
  <c r="D8" i="16"/>
  <c r="D12" i="16"/>
  <c r="D15" i="16"/>
  <c r="C7" i="18"/>
  <c r="C11" i="18"/>
  <c r="C4" i="18"/>
  <c r="C8" i="18"/>
  <c r="C5" i="18"/>
  <c r="C9" i="18"/>
  <c r="C6" i="18"/>
  <c r="D87" i="14"/>
  <c r="E86" i="14" s="1"/>
  <c r="B87" i="14"/>
  <c r="F87" i="14"/>
  <c r="G85" i="14" s="1"/>
  <c r="C87" i="14"/>
  <c r="H23" i="16" l="1"/>
  <c r="F23" i="16"/>
  <c r="D23" i="16"/>
  <c r="D7" i="17"/>
  <c r="E83" i="14"/>
  <c r="G82" i="14"/>
  <c r="G86" i="14"/>
  <c r="E79" i="14"/>
  <c r="E84" i="14"/>
  <c r="G79" i="14"/>
  <c r="G83" i="14"/>
  <c r="E80" i="14"/>
  <c r="E81" i="14"/>
  <c r="E85" i="14"/>
  <c r="G80" i="14"/>
  <c r="G84" i="14"/>
  <c r="E82" i="14"/>
  <c r="G81" i="14"/>
  <c r="C12" i="18"/>
  <c r="F72" i="14"/>
  <c r="G70" i="14" s="1"/>
  <c r="D72" i="14"/>
  <c r="B72" i="14"/>
  <c r="D65" i="14"/>
  <c r="E63" i="14" s="1"/>
  <c r="B65" i="14"/>
  <c r="C62" i="14" s="1"/>
  <c r="C70" i="14" l="1"/>
  <c r="C71" i="14"/>
  <c r="E87" i="14"/>
  <c r="G87" i="14"/>
  <c r="C63" i="14"/>
  <c r="C64" i="14"/>
  <c r="E64" i="14"/>
  <c r="E62" i="14"/>
  <c r="E70" i="14"/>
  <c r="E71" i="14"/>
  <c r="G71" i="14"/>
  <c r="G72" i="14" s="1"/>
  <c r="C72" i="14" l="1"/>
  <c r="E65" i="14"/>
  <c r="C65" i="14"/>
  <c r="E72" i="14"/>
  <c r="D68" i="15"/>
  <c r="E57" i="14"/>
  <c r="F40" i="14"/>
  <c r="F56" i="14"/>
  <c r="F54" i="14"/>
  <c r="F52" i="14"/>
  <c r="F46" i="14"/>
  <c r="F47" i="14"/>
  <c r="F51" i="14"/>
  <c r="F42" i="14"/>
  <c r="F53" i="14"/>
  <c r="F43" i="14"/>
  <c r="F41" i="14"/>
  <c r="F39" i="14"/>
  <c r="D50" i="14" l="1"/>
  <c r="D51" i="14"/>
  <c r="D39" i="14"/>
  <c r="D54" i="14"/>
  <c r="D40" i="14"/>
  <c r="D41" i="14"/>
  <c r="D56" i="14"/>
  <c r="D55" i="14"/>
  <c r="D49" i="14"/>
  <c r="D53" i="14"/>
  <c r="F57" i="14"/>
  <c r="D46" i="14"/>
  <c r="D44" i="14"/>
  <c r="D43" i="14"/>
  <c r="D42" i="14"/>
  <c r="D47" i="14"/>
  <c r="D52" i="14"/>
  <c r="D48" i="14"/>
  <c r="D45" i="14"/>
  <c r="D34" i="14"/>
  <c r="D57" i="14" l="1"/>
  <c r="F6" i="13" l="1"/>
  <c r="AK10" i="10" l="1"/>
  <c r="AL10" i="10" s="1"/>
  <c r="AK5" i="10"/>
  <c r="AL5" i="10" s="1"/>
  <c r="AI5" i="10"/>
  <c r="G6" i="11" l="1"/>
  <c r="G7" i="11"/>
  <c r="AL19" i="10"/>
  <c r="AL18" i="10"/>
  <c r="C36" i="11" l="1"/>
  <c r="D35" i="11"/>
  <c r="C34" i="11"/>
  <c r="D34" i="11"/>
  <c r="D7" i="11"/>
  <c r="C35" i="11"/>
  <c r="F6" i="11"/>
  <c r="D6" i="11"/>
  <c r="F7" i="11"/>
  <c r="AK17" i="10"/>
  <c r="AL17" i="10" s="1"/>
  <c r="AL15" i="10"/>
  <c r="AI22" i="10"/>
  <c r="AK20" i="10"/>
  <c r="AL20" i="10" s="1"/>
  <c r="AI20" i="10"/>
  <c r="AK24" i="10"/>
  <c r="AL24" i="10" s="1"/>
  <c r="AK23" i="10"/>
  <c r="AL23" i="10" s="1"/>
  <c r="AK22" i="10"/>
  <c r="AL22" i="10" s="1"/>
  <c r="L30" i="7" l="1"/>
  <c r="L29" i="7"/>
  <c r="L28" i="7"/>
  <c r="L27" i="7"/>
  <c r="K30" i="7"/>
  <c r="K29" i="7"/>
  <c r="K28" i="7"/>
  <c r="K27" i="7"/>
  <c r="J30" i="7"/>
  <c r="J29" i="7"/>
  <c r="J28" i="7"/>
  <c r="J27" i="7"/>
  <c r="N42" i="7" l="1"/>
  <c r="M42" i="7"/>
  <c r="N47" i="7"/>
  <c r="M47" i="7"/>
  <c r="N46" i="7"/>
  <c r="M46" i="7"/>
  <c r="N45" i="7"/>
  <c r="M45" i="7"/>
  <c r="N44" i="7"/>
  <c r="M44" i="7"/>
  <c r="N41" i="7"/>
  <c r="M41" i="7"/>
  <c r="N37" i="7"/>
  <c r="M37" i="7"/>
  <c r="L48" i="7"/>
  <c r="K48" i="7"/>
  <c r="H48" i="7"/>
  <c r="G48" i="7"/>
  <c r="J48" i="7"/>
  <c r="I48" i="7"/>
  <c r="M48" i="7" l="1"/>
  <c r="N48" i="7"/>
  <c r="O43" i="7"/>
  <c r="L25" i="7"/>
  <c r="K25" i="7"/>
  <c r="J25" i="7"/>
  <c r="O39" i="7" l="1"/>
  <c r="O40" i="7"/>
  <c r="O44" i="7"/>
  <c r="O42" i="7"/>
  <c r="O45" i="7"/>
  <c r="O41" i="7"/>
  <c r="O47" i="7"/>
  <c r="O46" i="7"/>
  <c r="O37" i="7"/>
  <c r="E4" i="9"/>
  <c r="E5" i="9"/>
  <c r="E6" i="9"/>
  <c r="E7" i="9"/>
  <c r="O48" i="7" l="1"/>
  <c r="C17" i="7" l="1"/>
  <c r="O5" i="7" l="1"/>
  <c r="P5" i="7"/>
  <c r="D15" i="7" s="1"/>
  <c r="O6" i="7"/>
  <c r="P6" i="7"/>
  <c r="Q6" i="7" s="1"/>
  <c r="P7" i="7"/>
  <c r="O7" i="7"/>
  <c r="Q5" i="7" l="1"/>
  <c r="Q7" i="7"/>
  <c r="D16" i="7"/>
  <c r="D17" i="7"/>
  <c r="P8" i="7" l="1"/>
  <c r="O8" i="7"/>
  <c r="N8" i="7"/>
  <c r="Q8" i="7" l="1"/>
  <c r="D18" i="7"/>
  <c r="B18" i="7"/>
  <c r="C18" i="7" s="1"/>
  <c r="F30" i="2" l="1"/>
  <c r="F49" i="2" s="1"/>
  <c r="F48" i="2" s="1"/>
  <c r="E30" i="2"/>
  <c r="E49" i="2" s="1"/>
  <c r="E48" i="2" s="1"/>
  <c r="D30" i="2"/>
  <c r="D49" i="2" s="1"/>
  <c r="D48" i="2" s="1"/>
  <c r="C30" i="2"/>
  <c r="C49" i="2" s="1"/>
  <c r="C48" i="2" s="1"/>
  <c r="B30" i="2"/>
  <c r="B49" i="2" s="1"/>
  <c r="B48" i="2" s="1"/>
  <c r="G30" i="2" l="1"/>
  <c r="G49" i="2" s="1"/>
  <c r="G48" i="2" s="1"/>
  <c r="C14" i="1" l="1"/>
  <c r="I13" i="1"/>
  <c r="I12" i="1"/>
  <c r="I11" i="1"/>
  <c r="I10" i="1"/>
  <c r="I9" i="1"/>
  <c r="I8" i="1"/>
  <c r="I7" i="1"/>
  <c r="I6" i="1"/>
  <c r="H14" i="1"/>
  <c r="G14" i="1"/>
  <c r="F14" i="1"/>
  <c r="E14" i="1"/>
  <c r="B14" i="1"/>
  <c r="I14" i="1" l="1"/>
  <c r="J8" i="1" s="1"/>
  <c r="J6" i="1" l="1"/>
  <c r="J11" i="1"/>
  <c r="J7" i="1"/>
  <c r="J9" i="1"/>
  <c r="J12" i="1"/>
  <c r="J13" i="1"/>
  <c r="J10" i="1"/>
  <c r="J14" i="1" l="1"/>
</calcChain>
</file>

<file path=xl/sharedStrings.xml><?xml version="1.0" encoding="utf-8"?>
<sst xmlns="http://schemas.openxmlformats.org/spreadsheetml/2006/main" count="1397" uniqueCount="640">
  <si>
    <t>Noslēgto līgumu summu, līgumu un iepirkumu skaita un sabiedrisko pakalpojumu sniedzēju skaita sadalījums pa darbības jomām</t>
  </si>
  <si>
    <t xml:space="preserve">Darbības jomas </t>
  </si>
  <si>
    <t>SPS skaits</t>
  </si>
  <si>
    <t>Veicot likumā noteiktās procedūras</t>
  </si>
  <si>
    <t>Virs ES līgumcenu sliekšņa</t>
  </si>
  <si>
    <t>Iepir-kumu skaits</t>
  </si>
  <si>
    <t>Noslēgto līgumu summa, EUR</t>
  </si>
  <si>
    <t>Iepirkumi, nepiemērojot likumā noteiktās procedūras</t>
  </si>
  <si>
    <t>Zem ES līgumcenu sliekšņa</t>
  </si>
  <si>
    <t>Likuma piemērošanas izņēmumi</t>
  </si>
  <si>
    <t>Īpatsvars (%)</t>
  </si>
  <si>
    <t>Pavisam kopā</t>
  </si>
  <si>
    <t>Siltumapgāde, gāze</t>
  </si>
  <si>
    <t>Elektroenerģija</t>
  </si>
  <si>
    <t>Ūdensapgāde</t>
  </si>
  <si>
    <t>Dzelzceļu pakalpojumi</t>
  </si>
  <si>
    <t>Pasažieru pārvadājumi</t>
  </si>
  <si>
    <t>Pasta pakalpojumi</t>
  </si>
  <si>
    <t>Ostas</t>
  </si>
  <si>
    <t>Lidostas</t>
  </si>
  <si>
    <t>Kopā</t>
  </si>
  <si>
    <t>Kopā sabiedrisko pakalpojumu sniedzēji (skaits)</t>
  </si>
  <si>
    <t>Kopā noslēgto līgumu summa (milj.EUR)</t>
  </si>
  <si>
    <t>2010.gads</t>
  </si>
  <si>
    <t>2011.gads</t>
  </si>
  <si>
    <t>2012.gads</t>
  </si>
  <si>
    <t>2013.gads</t>
  </si>
  <si>
    <t>2014.gads</t>
  </si>
  <si>
    <t>2015.gads</t>
  </si>
  <si>
    <t>Darbības jomas</t>
  </si>
  <si>
    <t>Virs ES sliekšņa</t>
  </si>
  <si>
    <t>Zem ES sliekšņa</t>
  </si>
  <si>
    <t>Likuma piemē-rošanas izņē-mumi</t>
  </si>
  <si>
    <t>Īpatsvars (%) attiecībā pret kopējo līgumu summu attiecīgajā darbības jomā</t>
  </si>
  <si>
    <t>Kopējā noslēgto līgumu summa, EUR</t>
  </si>
  <si>
    <t>Īpatsvars %</t>
  </si>
  <si>
    <t>Kopējais sabiedrisko pakalpojumu sniedzēju skaits</t>
  </si>
  <si>
    <t>SPS skaits , kuri veikuši virs ES sliekšņa iepirkumus</t>
  </si>
  <si>
    <t>Gads</t>
  </si>
  <si>
    <t>Noslēgto līgumu summa virs ES sliekšņa (milj.EUR)</t>
  </si>
  <si>
    <t>Iepirkumu skaits</t>
  </si>
  <si>
    <t>Līgumu skaits</t>
  </si>
  <si>
    <t>1.</t>
  </si>
  <si>
    <t>Iepirkumi, par kuriem noslēgti līgumi, piemērojot likuma izņēmumus</t>
  </si>
  <si>
    <t>Noslēgto līgumu summa (EUR)</t>
  </si>
  <si>
    <t>Gāzes vai siltuma pārvades vai sadales nozare</t>
  </si>
  <si>
    <t>Dzelzceļu transporta pakalpojumu joma</t>
  </si>
  <si>
    <t>Elektroenerģijas ražošanas, pārvades vai sadales nozare</t>
  </si>
  <si>
    <t>Pakal-poju-mu snie-dzēju skaits</t>
  </si>
  <si>
    <t>Dzeramā ūdens ražošanas, pārvades vai sadales nozare</t>
  </si>
  <si>
    <t>VAS "Latvijas dzelzceļš"</t>
  </si>
  <si>
    <t>SIA "Krāslavas nami"</t>
  </si>
  <si>
    <t>SIA Ādažu namsaimnieks</t>
  </si>
  <si>
    <t>SIA "Kokneses Komunālie pakalpojumi"</t>
  </si>
  <si>
    <t>SIA "Valkas Namsaimnieks"</t>
  </si>
  <si>
    <t>SIA "Pils rajona namu pārvalde"</t>
  </si>
  <si>
    <t>SIA "Talsu namsaimnieks"</t>
  </si>
  <si>
    <t>PA "Carnikavas Komunālserviss"</t>
  </si>
  <si>
    <t>Stopiņu novada PA "Saimnieks"</t>
  </si>
  <si>
    <t xml:space="preserve">PSIA "Ugāles nami" </t>
  </si>
  <si>
    <t>SIA "Rīgas satiksme"</t>
  </si>
  <si>
    <t>SIA "Jūrmalas ūdens"</t>
  </si>
  <si>
    <t>SIA "Smiltenes NKUP"</t>
  </si>
  <si>
    <t xml:space="preserve">SIA "Līvānu dzīvokļu un komunālā saimniecība" </t>
  </si>
  <si>
    <t>SIA "Auces komunālie pakalpojumi"</t>
  </si>
  <si>
    <t>SIA "Garkalnes inženiertīkli"</t>
  </si>
  <si>
    <t>SIA "Ķekavas nami"</t>
  </si>
  <si>
    <t>SIA "Lielvārdes Remte"</t>
  </si>
  <si>
    <t>SIA "Ludzas apsaimniekotājs"</t>
  </si>
  <si>
    <t>SIA "Naujenes pakalpojumu serviss"</t>
  </si>
  <si>
    <t xml:space="preserve">AS "Olaines ūdens un siltums" </t>
  </si>
  <si>
    <t>SIA "Ornaments"</t>
  </si>
  <si>
    <t>SIA "Ozolnieku KSDU"</t>
  </si>
  <si>
    <t>SIA "Preiļu saimnieks"</t>
  </si>
  <si>
    <t>pašvaldības SIA "Skrīveru saimnieks"</t>
  </si>
  <si>
    <t>SIA "Skrundas komunālā saimniecība"</t>
  </si>
  <si>
    <t>SIA "Dzīvokļu komunālā saimniecība"</t>
  </si>
  <si>
    <t>SIA "Rūpe"</t>
  </si>
  <si>
    <t>Ērgļu pagasta SIA Ūdas</t>
  </si>
  <si>
    <t>SIA Rojas DzKU</t>
  </si>
  <si>
    <t>SIA Saulkrastu komunālserviss</t>
  </si>
  <si>
    <t>SIA Baložu komunālā saimniecība</t>
  </si>
  <si>
    <t>SIA "Ādažu ūdens"</t>
  </si>
  <si>
    <t>SIA "BN Komforts"</t>
  </si>
  <si>
    <t>SIA "BŪKS"</t>
  </si>
  <si>
    <t>Ropažu novada SIA "CIEMATS"</t>
  </si>
  <si>
    <t>SIA "Dagdas komunālā saimniecība"</t>
  </si>
  <si>
    <t>SIA "Ikšķiles māja"</t>
  </si>
  <si>
    <t>SIA "NORMA K"</t>
  </si>
  <si>
    <t>SIA "Zilupes LTD"</t>
  </si>
  <si>
    <t>SIA Zeiferti</t>
  </si>
  <si>
    <t>A/S Mārupes komunālie pakalpojumi</t>
  </si>
  <si>
    <t>SIA "Jelgavas novada KU"</t>
  </si>
  <si>
    <t>Valkas novada dome</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</si>
  <si>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</si>
  <si>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</si>
  <si>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</si>
  <si>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</si>
  <si>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</si>
  <si>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</si>
  <si>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</si>
  <si>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</si>
  <si>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</si>
  <si>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</si>
  <si>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</si>
  <si>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</si>
  <si>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</si>
  <si>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</si>
  <si>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</si>
  <si>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</si>
  <si>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</si>
  <si>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</si>
  <si>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</si>
  <si>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</si>
  <si>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</si>
  <si>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</si>
  <si>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</si>
  <si>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</si>
  <si>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</si>
  <si>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</si>
  <si>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</si>
  <si>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</si>
  <si>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</si>
  <si>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</si>
  <si>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</si>
  <si>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</si>
  <si>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</si>
  <si>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</si>
  <si>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</si>
  <si>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</si>
  <si>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</si>
  <si>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</si>
  <si>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</si>
  <si>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</si>
  <si>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</si>
  <si>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</si>
  <si>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</si>
  <si>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</si>
  <si>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</si>
  <si>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</si>
  <si>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</si>
  <si>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</si>
  <si>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</si>
  <si>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</si>
  <si>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</si>
  <si>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</si>
  <si>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</si>
  <si>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 xml:space="preserve">PSIA "ŪDEKA" </t>
  </si>
  <si>
    <t>SIA "Ventspils siltums"</t>
  </si>
  <si>
    <t>Likuma kopējā izņēmumu piemērošanas dinamika</t>
  </si>
  <si>
    <t>Pakalpojumu sniedzēju skaits</t>
  </si>
  <si>
    <t>Noslēgto līgumu skaits</t>
  </si>
  <si>
    <t>Pakal-pojumu snie-dzēju skaits</t>
  </si>
  <si>
    <t>Īpat-svars (%) attie-cībā pret kopējo pasū-tītāju skaitu</t>
  </si>
  <si>
    <t>Noslēgto līgumu summa pavisam kopā, EUR</t>
  </si>
  <si>
    <t>Īpat-svars (%) attie-cībā pret kopējo līgumu summu</t>
  </si>
  <si>
    <t>Izņēmumu piemēroto līgumu summas īpatsvars (%)</t>
  </si>
  <si>
    <t>Pavisam kopējā līgumu summa. milj.EUR</t>
  </si>
  <si>
    <t>Noslēgto līgumu summa (milj.EUR)</t>
  </si>
  <si>
    <t>Vidējā līguma vērtība, EUR</t>
  </si>
  <si>
    <t>Vidējā līguma vērtība, milj.EUR</t>
  </si>
  <si>
    <t>No-slēgto līgu-mu skaits</t>
  </si>
  <si>
    <t>Pavisam kopējā līgumu summa, milj.EUR</t>
  </si>
  <si>
    <t>SPSIL pamatojums</t>
  </si>
  <si>
    <t>9.panta (1)daļas 1.punkts</t>
  </si>
  <si>
    <t>No-slēgto līgumu skaits</t>
  </si>
  <si>
    <t>9.panta (1)daļas 4.punkts</t>
  </si>
  <si>
    <t>9.panta (1)daļas 7.punkts</t>
  </si>
  <si>
    <t>9.panta (1)daļas 12.punkts</t>
  </si>
  <si>
    <t>9.panta (1)daļas 13.punkts</t>
  </si>
  <si>
    <t>10.panta 1.daļa</t>
  </si>
  <si>
    <t>10.panta (3)daļas 1.punkts</t>
  </si>
  <si>
    <t>10.panta (3)daļas 3.punkts</t>
  </si>
  <si>
    <t xml:space="preserve">Elektroenerģija </t>
  </si>
  <si>
    <t>10.panta 2.daļa</t>
  </si>
  <si>
    <t>9.panta (1)daļas 10.punkts</t>
  </si>
  <si>
    <t>t.sk.</t>
  </si>
  <si>
    <t>Pakalpoju-mu snie-dzēju skaits</t>
  </si>
  <si>
    <t>Noslēgto līgu-mu skaits</t>
  </si>
  <si>
    <t>Pasūtītāju skaits, kopā</t>
  </si>
  <si>
    <t>9.pants</t>
  </si>
  <si>
    <t>10.pants</t>
  </si>
  <si>
    <t>Vidējā 9.panta līgumu vērtība (%)</t>
  </si>
  <si>
    <t>Vidējā 10.panta līgumu vērtība (%)</t>
  </si>
  <si>
    <t>Pilsētas dzelzceļu, tramvaju, trolejbusu vai autobusu transporta pakalpojumu joma</t>
  </si>
  <si>
    <t>Pasta pakalpojumu nozare</t>
  </si>
  <si>
    <t>Jūras ostu vai iekšējo ostu, vai citu piestātņu pakalpojumu joma</t>
  </si>
  <si>
    <t>Lidostu pakalpojumu joma</t>
  </si>
  <si>
    <t>43 (137)</t>
  </si>
  <si>
    <t>32 (0)</t>
  </si>
  <si>
    <t>9 (0)</t>
  </si>
  <si>
    <t>21 (0)</t>
  </si>
  <si>
    <t>8 (7)</t>
  </si>
  <si>
    <t>1 (0)</t>
  </si>
  <si>
    <t>3 (0)</t>
  </si>
  <si>
    <t>12 (0)</t>
  </si>
  <si>
    <t>129 (144)</t>
  </si>
  <si>
    <t>No-slēgto līgu-mu un vispā-rīgo vieno-šanos  skaits</t>
  </si>
  <si>
    <t>No-slēgto līgumu un vispārīgo vieno-šanos  skaits</t>
  </si>
  <si>
    <t>Būvdarbi</t>
  </si>
  <si>
    <t>Preces</t>
  </si>
  <si>
    <t>Pakalpojumi</t>
  </si>
  <si>
    <t xml:space="preserve">1. A/S "Latvenergo" preču piegādes iepirkums, veicot sarunu procedūru ar konkursa izsludināšanu par "Rīgas HES hidroagregātu HA 1-HA6 rekonstrukciju", kuru līgumcena 105 381 000 EUR </t>
  </si>
  <si>
    <t>2. Rīgas pašvaldības SIA "Rīgas satiksme" preču piegādes iepirkums, veicot atklātu konkursu "Par dīzeļdegvielas piegādi", kuru līgumcena 60 000 000 EUR</t>
  </si>
  <si>
    <t>31 (0)</t>
  </si>
  <si>
    <t>30 (46)</t>
  </si>
  <si>
    <t>13 (91)</t>
  </si>
  <si>
    <t>6 (0)</t>
  </si>
  <si>
    <t>2 (0)</t>
  </si>
  <si>
    <t>17 (0)</t>
  </si>
  <si>
    <t>4 (0)</t>
  </si>
  <si>
    <t>7 (6)</t>
  </si>
  <si>
    <t>1 (1)</t>
  </si>
  <si>
    <t>7 (0)</t>
  </si>
  <si>
    <t>99 (52)</t>
  </si>
  <si>
    <t>27 (92)</t>
  </si>
  <si>
    <t xml:space="preserve">Lielākie iepirkumi (2015.g.):  </t>
  </si>
  <si>
    <t xml:space="preserve">3 (0) </t>
  </si>
  <si>
    <t>42 (29)</t>
  </si>
  <si>
    <t>10 (0)</t>
  </si>
  <si>
    <t>37 (0)</t>
  </si>
  <si>
    <t>11 (3)</t>
  </si>
  <si>
    <t>11 (1)</t>
  </si>
  <si>
    <t>119 (33)</t>
  </si>
  <si>
    <t>Vispārīgās vienošanās skaits</t>
  </si>
  <si>
    <t>Lielākie iepirkumi (2014.g.):</t>
  </si>
  <si>
    <t>1. A/S "Latvenergo" preču piegādes iepirkums, veicot sarunu procedūru ar konkursa izsludināšanu par "Ķeguma HES-2 hidroagregātu rekonstrukciju", kuru līgumcena 49 900 000 EUR</t>
  </si>
  <si>
    <t>2. VAS "Latvijas dzelzceļš" būvdarba iepirkums, veicot sarunu procedūru ar konkursa izsludināšanu par "Šķirotavas stacijas centralizācijas modernizācija" , kuru līgumcena 41 990 500 EUR</t>
  </si>
  <si>
    <t>nepublicējot dalības uzaicinājumu</t>
  </si>
  <si>
    <t>No-slēgto līgumu un vispā-rīgo vieno-šanos  skaits</t>
  </si>
  <si>
    <t>Iepirkumu veids</t>
  </si>
  <si>
    <t>Vispārīgā vienošanās</t>
  </si>
  <si>
    <t>Lielākie iepirkumi (2013.g.):</t>
  </si>
  <si>
    <t>1. Rīgas pašvaldības SIA "Rīgas satiksme" preču piegādes iepirkums, veicot atklātu konkursa izsludināšanu "Par trolejbusu piegādi", kuru līgumcena 131 646 135 EUR</t>
  </si>
  <si>
    <t>2. Rīgas pašvaldības SIA "Rīgas satiksme" preču piegādes iepirkums, veicot atklātu konkursa izsludināšanu "Par autobusu piegādi", kuru līgumcena 75 808 298 EUR</t>
  </si>
  <si>
    <t>Lielākie iepirkumi (2012.g.):</t>
  </si>
  <si>
    <t xml:space="preserve">1. AS "Pasažieru vilciens" preču piegādes iepirkums, veicot slēgtu konkursa izsludināšanu "Līgums par jaunu elektrovilcienu un dīzeļvilcienu iegādi", kuru līgumcena 610 757 053 EUR </t>
  </si>
  <si>
    <t>2. Rīgas Brīvostas pārvaldes būvdarbu iepirkumu, veicot slēgtu konkursu par "Infrastruktūras attīstība Krievu salā ostas aktivitāšu pārcelšanai no pilsētas centra, Rīga, Latvija", kuru līgumcena 88 707 159 EUR</t>
  </si>
  <si>
    <t>Nr.p.k.</t>
  </si>
  <si>
    <t>Darbības joma/ Sabiedrisko pakalpojumu sniedzējs</t>
  </si>
  <si>
    <t>Rīgas siltums, AS</t>
  </si>
  <si>
    <t>A/S "Latvijas Gāze"</t>
  </si>
  <si>
    <t>AS "Sadales tīkls"</t>
  </si>
  <si>
    <t>Akciju sabiedrība "Latvenergo"</t>
  </si>
  <si>
    <t>AS "Augstsprieguma tīkls"</t>
  </si>
  <si>
    <t>SIA "Rīgas ūdens"</t>
  </si>
  <si>
    <t>Dzelzceļu transporta pakalpojumi</t>
  </si>
  <si>
    <t>SIA "LDZ Infrastruktūra"</t>
  </si>
  <si>
    <t>SIA Norma-A</t>
  </si>
  <si>
    <t>SIA Daugavpils autobusu parks</t>
  </si>
  <si>
    <t>AS "Liepājas autobusu parks"</t>
  </si>
  <si>
    <t>Rīgas PSIA "Rīgas satiksme"</t>
  </si>
  <si>
    <t>AS "Daugavpils satiksme"</t>
  </si>
  <si>
    <t>Pasts</t>
  </si>
  <si>
    <t>VAS "Latvijas Pasts"</t>
  </si>
  <si>
    <t>VAS "Starptautiskā lidosta "Rīga""</t>
  </si>
  <si>
    <t>Latvija</t>
  </si>
  <si>
    <t>Lielbritānija</t>
  </si>
  <si>
    <t>Itālija</t>
  </si>
  <si>
    <t>Igaunija</t>
  </si>
  <si>
    <t>Somija</t>
  </si>
  <si>
    <t>38550000-5</t>
  </si>
  <si>
    <t>Lietuva</t>
  </si>
  <si>
    <t>Baltkrievija</t>
  </si>
  <si>
    <t>42100000-0</t>
  </si>
  <si>
    <t>Francija</t>
  </si>
  <si>
    <t>31174000-6</t>
  </si>
  <si>
    <t>Horvātija</t>
  </si>
  <si>
    <t>Norvēģija</t>
  </si>
  <si>
    <t>Bulgārija</t>
  </si>
  <si>
    <t>Čehija</t>
  </si>
  <si>
    <t>50225000-8</t>
  </si>
  <si>
    <t>Šveice</t>
  </si>
  <si>
    <t>34946000-0</t>
  </si>
  <si>
    <t>34630000-2</t>
  </si>
  <si>
    <t>Austrija</t>
  </si>
  <si>
    <t>34121100-2</t>
  </si>
  <si>
    <t>Polija</t>
  </si>
  <si>
    <t>34000000-7</t>
  </si>
  <si>
    <t>Vācija</t>
  </si>
  <si>
    <t xml:space="preserve">Joma </t>
  </si>
  <si>
    <t>CPV kods</t>
  </si>
  <si>
    <t>Valsts</t>
  </si>
  <si>
    <t>Noslēgtā līgumcena (EUR) bez PVN</t>
  </si>
  <si>
    <t>Komersantu valstiskā piederība</t>
  </si>
  <si>
    <t>Noslēgto līgumu summa EUR</t>
  </si>
  <si>
    <t>Dānija</t>
  </si>
  <si>
    <t>Zviedrija</t>
  </si>
  <si>
    <t>Naftas produkti, degviela, elektroenerģija un pārējie enerģijas avoti.</t>
  </si>
  <si>
    <t>09000000-3</t>
  </si>
  <si>
    <t>38000000-5</t>
  </si>
  <si>
    <t>24000000-4</t>
  </si>
  <si>
    <t>50000000-5</t>
  </si>
  <si>
    <t>Ķīmiskie produkti.</t>
  </si>
  <si>
    <t>Elektriskie mehānismi, aparāti, iekārtas un palīgmateriāli; apgaismojums.</t>
  </si>
  <si>
    <t>31000000-6</t>
  </si>
  <si>
    <t>Transporta iekārtas un palīgiekārtas transportēšanai.</t>
  </si>
  <si>
    <t>Laboratorijas, optiskās un precīzijas ierīces (izņemot brilles).</t>
  </si>
  <si>
    <t>Ražošanas iekārtas.</t>
  </si>
  <si>
    <t>42000000-6</t>
  </si>
  <si>
    <t>Remonta un apkopes pakalpojumi.</t>
  </si>
  <si>
    <t>IT pakalpojumi konsultēšana, programmatūras izstrāde, internets un atbalsts.</t>
  </si>
  <si>
    <t>72000000-5</t>
  </si>
  <si>
    <t>Noslēgtā līgumu summa, EUR</t>
  </si>
  <si>
    <t>Noslēgtā līgumu summa, milj.EUR</t>
  </si>
  <si>
    <t>Piegādātāji</t>
  </si>
  <si>
    <t>Latvijas</t>
  </si>
  <si>
    <t>Citas Eiropas Savienības valstis</t>
  </si>
  <si>
    <t>Citas valstis</t>
  </si>
  <si>
    <t>Būvdarbi, EUR</t>
  </si>
  <si>
    <t xml:space="preserve">Preču piegāde, EUR </t>
  </si>
  <si>
    <t xml:space="preserve">Īpatsvars (%) </t>
  </si>
  <si>
    <t>Vietējie</t>
  </si>
  <si>
    <t>Ārvalstu</t>
  </si>
  <si>
    <t xml:space="preserve">Kopā </t>
  </si>
  <si>
    <t>Noslēgto līgumu skaits ar piegādātājiem no:</t>
  </si>
  <si>
    <t>Ārvalstīm</t>
  </si>
  <si>
    <t>Noslēgtās līgumu summas ar piegādātājiem no:</t>
  </si>
  <si>
    <t>EUR</t>
  </si>
  <si>
    <t>Vietējie (% no kopējās līgumu summas)</t>
  </si>
  <si>
    <t>Citas valstis (% no kopējās līgumu summas)</t>
  </si>
  <si>
    <t>Vietējie (% no kopējā līgumu skaita)</t>
  </si>
  <si>
    <t>Citas valstis (% no kopējās līgumu skaita)</t>
  </si>
  <si>
    <t>CPV koda atšifrējums</t>
  </si>
  <si>
    <t>Noslēgto iepirkumu līgumu skaits</t>
  </si>
  <si>
    <t>Līgumu summa (milj.EUR)</t>
  </si>
  <si>
    <t>60000000-8</t>
  </si>
  <si>
    <t>45000000-7</t>
  </si>
  <si>
    <t>Celtniecības darbi.</t>
  </si>
  <si>
    <t>Būvkonstrukcijas un materiāli, būvniecības palīgmateriāli (izņemot elektroierīces).</t>
  </si>
  <si>
    <t>44000000-0</t>
  </si>
  <si>
    <t>Transporta pakalpojumi (izņemot atkritumu transportu).</t>
  </si>
  <si>
    <t>Finanšu un apdrošināšanas pakalpojumi.</t>
  </si>
  <si>
    <t>66000000-0</t>
  </si>
  <si>
    <t>Arhitektūras, būvniecības, inženiertehniskie un pārbaudes pakalpojumi.</t>
  </si>
  <si>
    <t>71000000-8</t>
  </si>
  <si>
    <t>Uzņēmējdarbības pakalpojumi: tiesības, tirgzinība, konsultēšana, darbinieku vervēšana, iespiešana un drošība.</t>
  </si>
  <si>
    <t>79000000-4</t>
  </si>
  <si>
    <t>Kopā:</t>
  </si>
  <si>
    <t>Prece</t>
  </si>
  <si>
    <t>Vidējā iepirkumu līgumu vērtība, EUR</t>
  </si>
  <si>
    <t>Būvdarbi (EUR)</t>
  </si>
  <si>
    <t>Preču piegāde (EUR)</t>
  </si>
  <si>
    <t>Pakal-pojumi (EUR)</t>
  </si>
  <si>
    <t xml:space="preserve">Kopā (EUR) </t>
  </si>
  <si>
    <t>Bāze: kopējā zem ES līgumcenu sliekšņa iepirkumu līgumu summa attiecīgajā gadā (milj.EUR)</t>
  </si>
  <si>
    <t>Zem ES līgumcenu sliekšņa noslēgto līgumu summu pieauguma temps pa iepirkumu veidiem, salīdzinot ar iepriekšējo gadu, %</t>
  </si>
  <si>
    <t>2011. gads</t>
  </si>
  <si>
    <t>2012. gads</t>
  </si>
  <si>
    <t>2013. gads</t>
  </si>
  <si>
    <t>2014. gads</t>
  </si>
  <si>
    <t>2015. gads</t>
  </si>
  <si>
    <t>Būvdarbu iepirkumi (milj.EUR)</t>
  </si>
  <si>
    <t>Preču iepirkumi (milj.EUR)</t>
  </si>
  <si>
    <t>Pakalpojumu iepirkumi (milj.EUR)</t>
  </si>
  <si>
    <t>2010. gads</t>
  </si>
  <si>
    <t>Būvdarbu iepirkumu vidējā vērtība (EUR)</t>
  </si>
  <si>
    <t>Preču iepirkumu vidējā vērtība (EUR)</t>
  </si>
  <si>
    <t>Pakalpojumu iepirkumu vidējā vērtība (EUR)</t>
  </si>
  <si>
    <t>Zem ES līgumcenu sliekšņa noslēgto līgumu summu pieauguma temps pa jomām pēc iepirkumu veidiem, salīdzinot ar iepriekšējo gadu, %</t>
  </si>
  <si>
    <t>IV.</t>
  </si>
  <si>
    <t xml:space="preserve">Zem ES līgumcenu sliekšņa veiktie iepirkumi </t>
  </si>
  <si>
    <t>V.</t>
  </si>
  <si>
    <t>Duālo_pasūtītāju_saraksts</t>
  </si>
  <si>
    <t>Virs_ES_saraksts</t>
  </si>
  <si>
    <t>III.</t>
  </si>
  <si>
    <t>Virs ES līgumcenu sliekšņa veiktie iepirkumi</t>
  </si>
  <si>
    <t>Procedūru veidi</t>
  </si>
  <si>
    <t>Procedūru</t>
  </si>
  <si>
    <t>Skaits</t>
  </si>
  <si>
    <t>Līgumu</t>
  </si>
  <si>
    <t>Procedūru skaits/ līgumu skaits</t>
  </si>
  <si>
    <t>Līgumu skaita īpatsvars (%)</t>
  </si>
  <si>
    <t>Summa, EUR</t>
  </si>
  <si>
    <t>Veicot atklātu konkursu</t>
  </si>
  <si>
    <t>Veicot slēgtu konkursu</t>
  </si>
  <si>
    <t>publicējot dalības uzaicinājumu</t>
  </si>
  <si>
    <t>Veicot sarunu procedūru</t>
  </si>
  <si>
    <t>Pavisam kopā:</t>
  </si>
  <si>
    <t>Sarunu procedūru gadījumi, kad nav publicēti dalības uzaicinājumi</t>
  </si>
  <si>
    <t>Tehnisku vai māksliniecisku iemeslu dēļ vai tādu iemeslu dēļ, kuri saistīti ar izņēmuma tiesību aizsardzību, līgumu var noslēgt tikai ar konkrētu piegādātāju</t>
  </si>
  <si>
    <t>Sabiedrisko pakalpojumu sniedzējam nepieciešamas papildu piegādes no sākotnējā preču piegādātāja (ražotāja), lai papildinātu vai daļēji nomainītu tā rīcībā jau esošās preces vai iekārtas, jo, izvēloties citu preču piegādātāju (ražotāju), sabiedrisko pakalpojumu sniedzējam vajadzētu iepirkt preces, kuras tehniski atšķirtos no tā rīcībā jau esošajām precēm, un šāda atšķirība radītu ar preču vai iekārtu uzturēšanu un ekspluatāciju saistītas grūtības</t>
  </si>
  <si>
    <t>iepirkumu skaits</t>
  </si>
  <si>
    <t>Kopā noslēgto līgumu un vispārīgās vienošanās skaits</t>
  </si>
  <si>
    <t>Vidējais līgumu vai vispārīgo vienošanās skaits uz iepirkumu</t>
  </si>
  <si>
    <t>Noslēgto līgumu summa, milj.EUR</t>
  </si>
  <si>
    <t>Noslēgto līgumu summu īpatsvars (%)</t>
  </si>
  <si>
    <t>Iepirkumu līgumu skaits</t>
  </si>
  <si>
    <t>Vispārīgo vienošanos skaits</t>
  </si>
  <si>
    <t>Īpatsvars, %</t>
  </si>
  <si>
    <t>2015. gadā</t>
  </si>
  <si>
    <t>Vidējā iepirkuma vērtība, EUR</t>
  </si>
  <si>
    <t>*) Katra gada procentuālais īpatsvars aprēķināts attiecībā pret</t>
  </si>
  <si>
    <t xml:space="preserve">iepriekšējo gadu </t>
  </si>
  <si>
    <t>Virs ES līgumcenu sliekšņa vidējās līgumu vērtību īpatsvaru svārstības pēc iepirkumu veidiem</t>
  </si>
  <si>
    <t>Kopējais pieaugums/ samazinājums</t>
  </si>
  <si>
    <t>Noslēgto līgumu summa</t>
  </si>
  <si>
    <t>Siltum-apgāde, gāze</t>
  </si>
  <si>
    <t>Elektro-enerģija</t>
  </si>
  <si>
    <t>Ūdens-apgāde</t>
  </si>
  <si>
    <t>Virs ES līgumcenu sliekšņa vidējās iepirkumu vērtības sadalījums pa jomām</t>
  </si>
  <si>
    <t>Virs ES līgumcenu sliekšņa noslēgto līgumu summu īpatsvars attiecībā pret iepirkumu veidiem pa jomām 2015.gadā, %</t>
  </si>
  <si>
    <t>Satura rādītājs</t>
  </si>
  <si>
    <t>I.</t>
  </si>
  <si>
    <t>Sabiedrisko pakalpojumu sniedzēju galveno rādītāju kopsavilkums</t>
  </si>
  <si>
    <t>II.</t>
  </si>
  <si>
    <t>Pārskatu apkopojuma metodoloģija</t>
  </si>
  <si>
    <t>Datu analīzes metode un datu atklātības princips</t>
  </si>
  <si>
    <t>Pārskata datu avots</t>
  </si>
  <si>
    <t>Pārskata sagatavošanas laiks un pieprasījuma mērķis</t>
  </si>
  <si>
    <t>Pārskata mērķis un uzdevumi</t>
  </si>
  <si>
    <t>Termini pārskatu apkopojumā lietoti un formulēti atbilstoši Sabiedrisko pakalpojumu sniedzēju iepirkumu likumam.</t>
  </si>
  <si>
    <t>II_Dinamika_sps_skaits_kopā_sum</t>
  </si>
  <si>
    <t>III_Virs_ES_iep_veidi_Tab_Din</t>
  </si>
  <si>
    <t>III_Virs_ES_Procedūras_Tab</t>
  </si>
  <si>
    <t>III_Virs_ES_CPV_kodu_sadalījums</t>
  </si>
  <si>
    <t>III_Virs_ES_ārvalstnieki_Tab</t>
  </si>
  <si>
    <t>III_Virs_ES_ārvalstnieki_Din</t>
  </si>
  <si>
    <t>IV_Zem_Tab</t>
  </si>
  <si>
    <t>IV_Zem_Din</t>
  </si>
  <si>
    <t>V_Izņēmumi_Tab</t>
  </si>
  <si>
    <t>V_Izņēmumi_Din</t>
  </si>
  <si>
    <t>VI.</t>
  </si>
  <si>
    <t>Virs un zem ES līgumcenu sliekšņa noslēgto līgumu summu pieauguma temps, salīdzinot ar iepriekšējo gadu, %</t>
  </si>
  <si>
    <t>Virs ES līgumcenu sliekšna līgumu summu īpatsvars (%)</t>
  </si>
  <si>
    <t>Zem ES līgumcenu sliekšņa līgumu summas īpatsvars (%)</t>
  </si>
  <si>
    <t>Virs ES līgumcenu sliekšņa noslēgto līgumu summu  pieauguma temps</t>
  </si>
  <si>
    <t>Zem ES līgumcenu sliekšņa noslēgto līgumu summu pieauguma temps</t>
  </si>
  <si>
    <t>Virs ES līgumcenu sliekšņa noslēgtā līgumu summa</t>
  </si>
  <si>
    <t>Zem ES līgumcenu sliekšņa noslēgtā līgumu summa</t>
  </si>
  <si>
    <t>Virs ES līgumcenu sliekšņa vidējās iepirkuma un līguma vērtības proporcionālais īpatsvars pret iepriekšējo gadu</t>
  </si>
  <si>
    <t>2010.gads (n=1 337,8 milj.EUR)</t>
  </si>
  <si>
    <t>2011.gads (n=867,2 milj.EUR)</t>
  </si>
  <si>
    <t>2012.gads (n=1496,6 milj.EUR)</t>
  </si>
  <si>
    <t>2013.gads (n=1255,1 milj.EUR)</t>
  </si>
  <si>
    <t>2014.gads (n=1364,4 milj.EUR)</t>
  </si>
  <si>
    <t>2015.gads (n=1170,2 milj.EUR)</t>
  </si>
  <si>
    <t>Noslēgtā līgumu summa (milj.EUR)</t>
  </si>
  <si>
    <t>II_Kopējā_dinamika</t>
  </si>
  <si>
    <t>Secinājumi</t>
  </si>
  <si>
    <t>Līgumu /vispārīgo vie-nošanās skaits</t>
  </si>
  <si>
    <t>Virs ES līgumcenu sliekšņa līgumu skaita un vispārīgās vienošanās proporcionālais īpatsvars, %</t>
  </si>
  <si>
    <t>Virs ES līgumcenu sliekšņa iepirkumu skaita, līgumu un vispārīgās vienošanās skaita proporcionālais īpatsvars pret iepriekšējo gadu</t>
  </si>
  <si>
    <t>III_Virs_ES_līgumu_vis.vien_Din</t>
  </si>
  <si>
    <t>Termini</t>
  </si>
  <si>
    <t>137 (243)</t>
  </si>
  <si>
    <t>238 (30)</t>
  </si>
  <si>
    <t>221 (28)</t>
  </si>
  <si>
    <t>235 (22)</t>
  </si>
  <si>
    <t>109 (39)</t>
  </si>
  <si>
    <t>240 (28)</t>
  </si>
  <si>
    <t>Virs ES līgumcenu sliekšņa vidējās iepirkumu vērtību īpatsvaru svārstības pēc iepirkumu veidiem*</t>
  </si>
  <si>
    <t>CPV apakškods</t>
  </si>
  <si>
    <t>CPV galvenais kods</t>
  </si>
  <si>
    <t>Kopējā līgumu summa (EUR), piemērojot 9.pantu</t>
  </si>
  <si>
    <t>Kopējā līgumu summa (EUR), piemērojot 10.pantu</t>
  </si>
  <si>
    <t>Vidējā līgumu vērtība (EUR), piemērojot 9.pantu</t>
  </si>
  <si>
    <t>Vidējā līgumu vērtība (EUR), piemērojot 10.pantu</t>
  </si>
  <si>
    <t xml:space="preserve">PU Vangažu namsaimnieks </t>
  </si>
  <si>
    <t>VII.</t>
  </si>
  <si>
    <t>Skultes ostas pārvalde</t>
  </si>
  <si>
    <t>SIA Grobiņas HES</t>
  </si>
  <si>
    <t>SIA "Garkalnes komunālserviss"</t>
  </si>
  <si>
    <t>SIA "Kusas nami"</t>
  </si>
  <si>
    <t>Duālo pasūtītāju saraksts, kuri iesnieguši statistikas pārskatus par 2016.gadu</t>
  </si>
  <si>
    <t>Baltinavas novada dome</t>
  </si>
  <si>
    <t>PSIA Maltas dzīvokļu komunālās saimniecības uzņēmums</t>
  </si>
  <si>
    <t xml:space="preserve">SIA Vīgants </t>
  </si>
  <si>
    <t>SIA Durbes KS</t>
  </si>
  <si>
    <t>SIA Kārsavas namsaimnieks</t>
  </si>
  <si>
    <t>55.</t>
  </si>
  <si>
    <t>56.</t>
  </si>
  <si>
    <t>A/S "Pasažieru vilciens"</t>
  </si>
  <si>
    <t>SIA "VTU Valmiera"</t>
  </si>
  <si>
    <t>SIA "Dobeles autobusu parks"</t>
  </si>
  <si>
    <t>SIA Rēzeknes satiksme</t>
  </si>
  <si>
    <t>SIA "Jēkabpils autobusu parks"</t>
  </si>
  <si>
    <t>Liepājas speciālās ekonomiskās zonas pārvalde</t>
  </si>
  <si>
    <t>Rīgas brīvostas pārvalde</t>
  </si>
  <si>
    <t>Kopsavilkums par sabiedrisko pakalpojumu sniedzēju noslēgtajiem līgumiem, to summām virs ES līgumcenu sliekšņa 2016.gadā</t>
  </si>
  <si>
    <t>Noslēgto līgumu /vis-pārīgo vieno-šanās skaits</t>
  </si>
  <si>
    <t>Viena līguma/ vispārīgās vieno-šanās vidējā vērtība, EUR</t>
  </si>
  <si>
    <t>Rīga, 2017</t>
  </si>
  <si>
    <t>STATISTIKAS PĀRSKATU APKOPOJUMS PAR 2016.GADĀ SABIEDRISKO PAKALPOJUMU SNIEDZĒJU VEIKTAJIEM IEPIRKUMIEM</t>
  </si>
  <si>
    <t>Statistikas pārskatu apkopojums par 2016.gadā sabiedrisko pakalpojumu sniedzēju veiktajiem iepirkumiem</t>
  </si>
  <si>
    <t>I_kopā_2016</t>
  </si>
  <si>
    <t>III_Virs_ES_Tab_2012_2016</t>
  </si>
  <si>
    <t>Mērķis - sniegt informāciju par valstī notiekošajiem procesiem sabiedrisko pakalpojumu sniedzēju jomā, atklājot sabiedrisko pakalpojumu sniedzēju uzņēmumu veikto iepirkumu rezultātus 2016.gadā.                                                                                    Uzdevums - apkopot un vizualizēt (tabulās un diagrammās) statistisko informāciju par sabiedrisko pakalpojumu sniedzēju veiktajiem iepirkumiem, apkopojuma saturā iekļaujot un analizējot datus par uzņēmumu veiktajiem iepirkumiem, to rezultātā noslēgtajiem būvdarbu, piegādes un/vai pakalpojumu līgumiem un to līgumu summām:                                                                                                                                        - atbilstoši piemērotai iepirkumu procedūrai un noteiktajai līgumcenu robežai;              - atbilstoši iepirkumiem, nepiemērojot likuma procedūru regulējumu;                                  - atbilstoši likuma piemērošanas vispārīgiem izņēmumiem (9. un 10.panta noteiktā kārtībā)</t>
  </si>
  <si>
    <t>Datu apkopojuma metode balstīta sistēmā, kad sākotnēji tiek izteikta skaitliskā informācija par iepirkumu skaitu, noslēgtajiem līgumiem un līgumu summām pa jomām, tad izteiktas skaitliskās attiecībās pret  iepriekšējo gadu un noteiktās iepirkumu grupās (pēc iepirkuma veida, iepirkumu nomenklatūras (CPV), piemērotās procedūras, līgumu un vispārīgās vienošanās proporcijas un valstisko piederību rādītāji) un dinamika.                                                                                                         Galvenie statistikas pārskata rādītāji - iepirkumu skaits, noslēgtie līgumi un to līgumu summa.                                                                                                                                           Pārskata dati par sabiedrisko pakalpojumu sniedzēju iepirkumiem ir publiski pieejama informācija, kas pārskatu apkopojumā tiek izteikti pēc publiski pieejamas informācijas principa. Pārskatu apkopojums nesatur konfidenciālu vai ierobežota satura informāciju.                                                                                                           Iepirkumu skaita un līgumu summu izmaiņu analīzei 2016.gada pārskatā izmantota informācija/ dati arī no:                                                                                                                          - iepriekšējo gadu Iepirkumu uzraudzības biroja statistikas pārskatiem un Publikāciju vadības sistēmas.</t>
  </si>
  <si>
    <t>Noslēgto līgumu summas (virs/zem ES sliekšņa un likuma piemērošanas izņēmumi) sadalījums pa darbības jomām 2016.gadā</t>
  </si>
  <si>
    <t>5/0</t>
  </si>
  <si>
    <t>30/22</t>
  </si>
  <si>
    <t>6/0</t>
  </si>
  <si>
    <t>27/0</t>
  </si>
  <si>
    <t>12 //17</t>
  </si>
  <si>
    <t>Iepirkumu skaita un noslēgto līgumu summu pieaugums (%) 2016.gadā (attiecībā pret 2015.gadu) pa jomām</t>
  </si>
  <si>
    <t>2016.gads</t>
  </si>
  <si>
    <t>Pārskatu sniedzēju skaits pa jomām no 2010. līdz 2016.gadam</t>
  </si>
  <si>
    <t>Sabiedrisko pakalpojumu sniedzēju skaita un to iepirkumu kopējās līgumsumma                                                      no 2010. līdz 2016.gadam</t>
  </si>
  <si>
    <t>Sabiedrisko pakalpojumu sniedzēju skaita dinamika un īpatsvars, kuri veikuši virs ES līgumcenu sliekšņa iepirkumus no 2010. līdz 2016.gadam</t>
  </si>
  <si>
    <t>Virs ES līgumcenu sliekšņa noslēgto līgumu summu, iepirkumu un līgumu skaita dinamika no 2010. līdz 2016.gadam</t>
  </si>
  <si>
    <t>20//0</t>
  </si>
  <si>
    <t>2//2</t>
  </si>
  <si>
    <t>2//1</t>
  </si>
  <si>
    <t>104//42</t>
  </si>
  <si>
    <t>Noslēgto līgumu summu sadalījums virs un zem ES līgumcenu sliekšņa un izņēmumu iepirkumi laika posmā no 2012. līdz 2016.gadam</t>
  </si>
  <si>
    <t>Īpatsvara pieaugums (%) attiecībā pret 2015.gadu</t>
  </si>
  <si>
    <t>Virs ES līgumcenu sliekšņa vidējās iepirkuma un līguma vērtības laika posmā no 2010. līdz 2016.gadam</t>
  </si>
  <si>
    <t>Noslēgto līgumu summu (virs un zem ES līgumcenu sliekšņa) īpatsvars attiecībā pret iepirkumu veidiem no 2010. līdz 2016.gadam</t>
  </si>
  <si>
    <t>Noslēgto līgumu summu (virs un zem ES līgumcenu sliekšņa) dinamika pēc iepirkumu veidiem no 2010. līdz 2016.gadam</t>
  </si>
  <si>
    <t>Kopējo noslēgto līgumu summu (virs un zem ES līgumcenu sliekšņa) īpatsvars pret sabiedrisko pakalpojumu sniedzēju jomām no 2010. līdz 2016.gadam, %</t>
  </si>
  <si>
    <t>Virs ES līgumcenu sliekšņa noslēgto līgumu summu dinamika pēc jomām no 2012. līdz 2016.gadam</t>
  </si>
  <si>
    <t xml:space="preserve">Lielākie iepirkumi (2016.g.):  </t>
  </si>
  <si>
    <t>1. A/S "Augstsprieguma tīkls" būvdarbu iepirkums, veicot sarunu procedūru ar konkursa izsludināšanu par "Kurzemes loka 110 kV elektropārvades līniju pārbūve posmā Ventspils – Tume – Rīga, pastiprinot ar 330 kV līniju", kuru līgumcena 110 535 950 EUR</t>
  </si>
  <si>
    <t xml:space="preserve">2. Rīgas pašvaldības SIA "Rīgas satiksme"pakalpojumu iepirkumu, veicot sarunu procedūru ar konkursa izsludināšanu " Par aizdevuma piešķiršanu investīciju projektu finansēšanai", kuru līgumcena 100 000 000 EUR </t>
  </si>
  <si>
    <t>Virs ES līgumcenu sliekšņa veikto iepirkumu skaita sadalījums pēc iepirkumu veidiem 2016.gadā</t>
  </si>
  <si>
    <t>Virs ES līgumcenu sliekšņa noslēgto līgumu summu sadalījums pēc iepirkumu veidiem 2016.gadā, %</t>
  </si>
  <si>
    <t>Virs ES līgumcenu sliekšņa noslēgto līgumu summu dinamika pēc iepirkumu veidiem no 2010. līdz 2016.gadam</t>
  </si>
  <si>
    <t>Virs ES līgumcenu sliekšņa iepirkumu skaits, līgumu summu un vidējās iepirkumu vērtības pieaugums pēc iepirkumu veidiem 2016.gadā, attiecībā pret 2015.gadu</t>
  </si>
  <si>
    <t>2016. gadā</t>
  </si>
  <si>
    <t>Īpatsvars (%) attiecībā pret 2015. gadu</t>
  </si>
  <si>
    <t xml:space="preserve">2015. gadā </t>
  </si>
  <si>
    <t>Īpatsvars (%) attiecībā prete 2015. gadu</t>
  </si>
  <si>
    <t>Virs ES līgumcenu sliekšņa noslēgto līgumu skaita, līgumu summu un vidējās līgumu vērtības pieaugums pēc iepirkumu veidiem 2016.gadā, attiecībā pret 2015.gadu</t>
  </si>
  <si>
    <t>Virs ES līgumcenu sliekšņa iepirkumu skaita sadalījums pēc to jomām un iepirkumu veidiem 2016.gadā</t>
  </si>
  <si>
    <t>0 (2)</t>
  </si>
  <si>
    <t>11 (17)</t>
  </si>
  <si>
    <t>13 (17)</t>
  </si>
  <si>
    <t>15 (5)</t>
  </si>
  <si>
    <t>2 (2)</t>
  </si>
  <si>
    <t>74 (35)</t>
  </si>
  <si>
    <t>28 (5)</t>
  </si>
  <si>
    <t>Virs ES līgumcenu sliekšņa noslēgto līgumu summu sadalījums pēc iepirkumu veidiem pa jomām 2016.gadā</t>
  </si>
  <si>
    <t>Vidējā iepirkumu vērtība (EUR) 2015. gadā</t>
  </si>
  <si>
    <t>Vidējā iepirkumu vērtība (EUR) 2016.gadā</t>
  </si>
  <si>
    <t>Vidējās iepirkumu vērtības īpatsvars (%) attiecībā pret 2015.gadu</t>
  </si>
  <si>
    <t>Iepirkumu, līgumu veidu skaita un summas sadalījums pēc procedūru veidiem virs ES līgumcenu sliekšņa 2016.gadā</t>
  </si>
  <si>
    <t>Līgumu skaita un līgumu summas sadalījums pēc sarunu procedūru izvēles, nepublicējot dalības uzaicinājumu nosacījumiem virs ES līgumcenu sliekšņa 2016.gadā</t>
  </si>
  <si>
    <t xml:space="preserve">Virs ES līgumcenu sliekšņa veikto iepirkumu sadalījums pēc piemērotās iepirkumu procedūras pa jomām 2016.gadā </t>
  </si>
  <si>
    <t>Virs ES līgumcenu sliekšņa iepirkumu skaita, noslēgto līgumu un un vispārīgās vienošanās skaita dinamika no 2012. līdz 2016.gadam</t>
  </si>
  <si>
    <t>13//30</t>
  </si>
  <si>
    <t xml:space="preserve">Nav iesniegti piedāvājumi vai pieteikumi iepirkuma procedūrai, par kuru bijis publicēts dalības uzaicinājums, vai ir iesniegti iepirkuma procedūras dokumentos noteiktajām prasībām neatbilstoši piedāvājumi un iepirkuma līguma noteikumi būtiski neatšķiras no iepriekš izsludinātajā attiecīgajā iepirkuma procedūrā paredzētajām līguma izpildei nepieciešamajām prasībām </t>
  </si>
  <si>
    <t>Sabiedrisko pakalpojumu sniedzējam neparedzamu ārkārtas apstākļu rezultātā objektīvi radusies situācija, kurā steidzamības dēļ nav iespējams piemērot atklātu konkursu, slēgtu konkursu vai sarunu procedūru, publicējot dalības uzaicinājumu - ciktāl tas nepieciešams, lai novērstu ārkārtas situāciju</t>
  </si>
  <si>
    <t>2016.gads (n=1408,2 milj.EUR)</t>
  </si>
  <si>
    <t>228 (22)</t>
  </si>
  <si>
    <t>Virs ES līgumcenu sliekšņa iepirkumu līgumu summu dalījums CPV kodu grupās 2016.gadā (%)</t>
  </si>
  <si>
    <t>30000000-9</t>
  </si>
  <si>
    <t>Biroja un skaitļošanas tehnika, aprīkojums un piederumi, izņemot mēbeles un programmatūru.</t>
  </si>
  <si>
    <t>Programmatūras pakotne un informācijas sistēmas.</t>
  </si>
  <si>
    <t>48000000-8</t>
  </si>
  <si>
    <t>Ar transportu saistītie pakalpojumi un palīgpakalpojumi; ceļojumu aģentūru pakalpojumi.</t>
  </si>
  <si>
    <t>63000000-9</t>
  </si>
  <si>
    <t>64000000-6</t>
  </si>
  <si>
    <t>Pasta un telekomunikāciju pakalpojumi.</t>
  </si>
  <si>
    <t>Pētniecības un izstrādes pakalpojumi un saistītie konsultāciju pakalpojumi.</t>
  </si>
  <si>
    <t>73000000-2</t>
  </si>
  <si>
    <t>No-slēgto iepirkumu līgumu skaits</t>
  </si>
  <si>
    <t>Īpat-svars (%)</t>
  </si>
  <si>
    <t>Līgumu summas ar ārvalstnie-kiem īpatsvars (%) pret kopējo līgumu summu</t>
  </si>
  <si>
    <t>t.s.k. līgumu summa ar ārvalstnie-kiem (milj.EUR)</t>
  </si>
  <si>
    <t>Virs ES līgumcenu sliekšņa noslēgto līgumu summu sadalījums pa jomām pēc CPV kodiem un pēc valstiskās piederības (bez Latvijas) 2016.gadā</t>
  </si>
  <si>
    <t>44212226-9</t>
  </si>
  <si>
    <t>31321100-3</t>
  </si>
  <si>
    <t>31213200-4</t>
  </si>
  <si>
    <t>71300000-1</t>
  </si>
  <si>
    <t>42997200-3</t>
  </si>
  <si>
    <t>34947000-7</t>
  </si>
  <si>
    <t>34121400-5</t>
  </si>
  <si>
    <t>34622100-4</t>
  </si>
  <si>
    <t>34144940-0</t>
  </si>
  <si>
    <t>66113000-5</t>
  </si>
  <si>
    <t>45252124-3</t>
  </si>
  <si>
    <t>Virs ES līgumcenu sliekšņa noslēgto līgumu summu sadalījums pēc piegādātāju valstiskās piederības 2016.gadā un attiecībā pret 2015.gadu</t>
  </si>
  <si>
    <t>Noslēgto līgumu summa 2015.gadā, EUR</t>
  </si>
  <si>
    <t>Īpatsvars (%) attiecībā pret 2015.gadu</t>
  </si>
  <si>
    <t>Virs ES līgumcenu sliekšņa noslēgto līgumu summu un skaita sadalījums pēc piegādātāju valstiskās piederības 2016.gadā</t>
  </si>
  <si>
    <t>Virs ES līgumcenu sliekšņa noslēgto līgumu summu sadalījums pēc to piegādātājiem pa iepirkumu veidiem 2016.gadā</t>
  </si>
  <si>
    <t>Pakalpo-jumi, EUR</t>
  </si>
  <si>
    <t>Virs ES līgumcenu sliekšņa nolēgto līgumu skaita un summu sadalījums pēc jomām 2016.gadā</t>
  </si>
  <si>
    <t>Virs ES līgumcenu sliekšņa ar ārvalstu pretendentiem noslēgto līgumu summu sadalījums pēc CPV kodu klasifikatora 2016.gadā</t>
  </si>
  <si>
    <t>34144910-0</t>
  </si>
  <si>
    <t>Virs ES līgumcenu sliekšņa ar ārvalstu pretendentiem noslēgto līgumu summu sadalījums pēc valstiskās piederības 2016.gadā</t>
  </si>
  <si>
    <t>Au-strija</t>
  </si>
  <si>
    <t>Zvie-drija</t>
  </si>
  <si>
    <t>Bul-gārija</t>
  </si>
  <si>
    <t>Hor-vātija</t>
  </si>
  <si>
    <t>Fran-cija</t>
  </si>
  <si>
    <t>Dā-nija</t>
  </si>
  <si>
    <t>Piegādātāju valstiskās piederības dinamika, % no kopējās līgumu skaita un kopējās līgumu summas no 2010. līdz 2016.gadam</t>
  </si>
  <si>
    <t>Noslēgto līgumu skaits pēc valstiskās piederības 2016.gadā</t>
  </si>
  <si>
    <t>Celtniecības darbi</t>
  </si>
  <si>
    <t>Noslēgto iepirkumu līgumu skaita un noslēgtās līgumu summas zem ES līgumcenu sliekšņa sadalījums pa iepirkumu veidiem 2016.gadā</t>
  </si>
  <si>
    <t>Zem ES līgumcenu sliekšņa noslēgto līgumu summu sadalījums pēc iepirkumu veidiem pa sabiedrisko pakalpojumu sniedzēju jomām 2016.gadā</t>
  </si>
  <si>
    <t>Zem ES līgumcenu sliekšņa noslēgto līgumu summu sadalījums pēc iepirkumu veidiem sabiedrisko pakalpojumu sniedzēju jomu griezumā 2016.gadā</t>
  </si>
  <si>
    <t>Zem ES līgumcenu sliekšņa noslēgto līgumu summu sadalījums pēc sabiedrisko pakalpojumu sniedzēju jomām 2016.gadā, %</t>
  </si>
  <si>
    <t>Noslēgto līgumu summu īpatsvars zem ES līgumcenu sliekšņa pa iepirkumu veidiem no 2010. līdz 2016.gadam, %</t>
  </si>
  <si>
    <t>2016. gads</t>
  </si>
  <si>
    <t>Zem ES līgumcenu sliekšņa noslēgto līgumu summu un vidējās vērtības dinamika pēc iepirkumu veidiem no 2010. līdz 2016.gadam</t>
  </si>
  <si>
    <t xml:space="preserve">Īpatsvara pieaugums (%) attiecībā pret iepriekšējo 2015.gadu </t>
  </si>
  <si>
    <t xml:space="preserve">Īpatsvara pieaugums (%) attiecībā pret 2015.gadu </t>
  </si>
  <si>
    <t xml:space="preserve">SPSIL 9. un 10.pantā minēto piemērošanas izņēmumu sadalījums pa jomām 2016.gadā </t>
  </si>
  <si>
    <t>SPSIL 9. un 10.pantā minēto piemērošanas izņēmumu noslēgto līgumu summu un vidējās vērtības dinamika no 2012. līdz 2016.gadam</t>
  </si>
  <si>
    <t>Īpatsvars attiecībā pret 2015.gadu (%)</t>
  </si>
  <si>
    <t>9.panta (1)daļas 9.punkts</t>
  </si>
  <si>
    <t>Iepirkumi, par kuriem noslēgti līgumi, līgumu summas un līgumu slēdzēju skaita dinamika, piemērojot likuma izņēmumus, no 2012. līdz 2016.gadam</t>
  </si>
  <si>
    <t>31//37</t>
  </si>
  <si>
    <t>3//3</t>
  </si>
  <si>
    <t>44//67</t>
  </si>
  <si>
    <t>30 (22)</t>
  </si>
  <si>
    <t>12(17)</t>
  </si>
  <si>
    <t>2 (1)</t>
  </si>
  <si>
    <t>104 (42)</t>
  </si>
  <si>
    <t xml:space="preserve">Iepirkumu uzraudzības birojs 2016.gadā kopā ir apkopojis 228 iesniegtos sabiedrisko pakalpojumu sniedzēju gada pārskatus, t.sk. 56 pārskati saņemti no uzņēmumiem, kuri piemēro arī "Publisko iepirkumu likumu", kam ir duāls raksturs. Salīdzinot ar 2015.gadu, 2016.gadā statistikas pārskatu skaits samazinājies par 7 jeb 2,9% un duālo pasūtītāju skaits pieaudzis par 4 jeb 7,7%. </t>
  </si>
  <si>
    <t>2016.gadā sabiedrisko pakalpojumu sniedzēji, tāpat kā citus gadus, darbojušies astoņās no desmit darbības jomām. Sabiedrisko pakalpojumu sniedzēji darbību neveic  naftas vai gāzes izpētes un ieguves nozarē, kā arī akmeņogļu un citu cieto kurināmo izpētes un ieguves nozarē.</t>
  </si>
  <si>
    <t>2016.gadā lielāko noslēgto līgumu summas īpatsvaru veido iepirkumi, kas veikti zem ES līgumcenu sliekšņa - 49,7% no kopējās noslēgtās līgumu summas, savukārt iepirkumi virs ES līgumcenu sliekšņa veido 42,4% lielu īpatsvaru no kopējās noslēgto līgumu summas, un iepirkumi, piemērojot likuma izņēmumus - 7,9% no kopējās noslēgto līgumu summas. Salīdzinot ar 2015.gadu, procentuālais īpatsvars bija līdzīgs, kur lielāko noslēgto līgumu summu veidoja iepirkumi, kas veikti zem ES līgumcenu sliekšņa (61,9% īpatsvara), tad seko iepirkumi virs ES līgumcenu sliekšņa (28,3% īpatsvars) un likuma piemērošanas izņēmumi (9,8% īpatsvars).</t>
  </si>
  <si>
    <t>Virs un zem ES līgumcenu sliekšņa 2016.gadā mainījās iepriekšējo gadu tendence, un lielāko noslēgto līgumu summu īpatsvaru veido pakalpojumu iepirkumi - 592,2 milj.EUR (summa attiecībā pret 2015.gadu pieaugusi par 152,0 milj. EUR jeb 34,5%), kas veido 42,1% īpatsvaru no kopējās noslēgtās līgumu summas, tad seko piegāžu iepirkumi - 534,8 milj.EUR (summa attiecībā pret 2015.gadu ir pieaugusi par 69,6 milj.EUR jeb 14,9%) jeb 37,9%, un būvdarbu iepirkumi - 281,0 milj.EUR (summa pieaugusi par 16,2 milj.EUR jeb 6,1%) jeb 19,9% īpatsvars no kopējās noslēgtās līgumu summas virs un zem ES līgumcenu sliekšņa.</t>
  </si>
  <si>
    <r>
      <t>2016.gadā lielākā kopējā noslēgto līgumu summa virs un zem ES līgumcenu sliekšņa ir elektroenerģijas jomas uzņēmumiem -</t>
    </r>
    <r>
      <rPr>
        <b/>
        <sz val="11"/>
        <color theme="1"/>
        <rFont val="Calibri"/>
        <family val="2"/>
        <charset val="186"/>
        <scheme val="minor"/>
      </rPr>
      <t xml:space="preserve"> </t>
    </r>
    <r>
      <rPr>
        <sz val="11"/>
        <color theme="1"/>
        <rFont val="Calibri"/>
        <family val="2"/>
        <charset val="186"/>
        <scheme val="minor"/>
      </rPr>
      <t>733,7 milj.EUR (summa attiecībā pret 2015.gadu ir pieaugusi par 147,3 milj.EUR jeb 25,1%), kas veido 52,1% no kopējās noslēgtās līgumu summas. Arī 2015.gadā lielākā kopējā noslēgto līgumu summa virs un zem ES līgumcenu sliekšņa bija elektroenerģijas jomas uzņēmumiem. Mazākā kopējā noslēgto līgumu summa virs un zem ES līgumcenu sliekšņa ir pasta jomas uzņēmumiem - 14,7 milj.EUR (summa attiecībā pret 2015.gadu ir pieaugusi par 7,8 milj.EUR jeb 113,0%) jeb 1,0% no kopējās noslēgto līgumu summas. Arī 2015.gadā mazākā noslēgto līgumu summa virs un zem ES līgumcenu sliekšņa bija pasta pakalpojumu jomas uzņēmumiem.</t>
    </r>
  </si>
  <si>
    <t>Pārskata gadā veiktas 98 iepirkumu procedūras (virs ES līgumcenu sliekšņa) par kopējo līgumu summu 648,6 milj.EUR. Salīdzinot ar 2015.gadu, 2016.gadā skaits pieaudzis par 5 iepirkumiem jeb 5,4%. Kopējā noslēgtā līgumu summa virs ES līgumcenu sliekšņa pret 2015.gadu ir pieaugusi par 281,1 milj.EUR jeb 76,5%.</t>
  </si>
  <si>
    <t>Pamatojoties uz Sabiedrisko pakalpojumu sniedzēju iepirkumu likuma 9. un 10.panta piemērošanas izņēmumiem, 2016.gadā 48 uzņēmumi noslēguši 246 līgumus par kopējo līgumu summu 121,4 milj.EUR (summa attiecībā pret 2015.gadu samazinājusies par 5,1 milj.EUR jeb 4,0%). Lielākie likuma izņēmumu piemērotāji ir siltumapgādes, gāzes jomas uzņēmumi, kur noslēgti 110 līgumi (līgumu skaits attiecībā pret 2014.gadu samazinājies par 4 līgumiem jeb 3,5%), turpat lielākā noslēgtā līgumu summa ir siltumapgādes, gāzes jomas uzņēmumiem, kur kopējā noslēgto līgumu summa sastāda 52,1 milj.EUR (summa attiecībā pret 2015.gadu samazinājusies par 1,8 milj.EUR jeb 3,2%).</t>
  </si>
  <si>
    <t>2016.gadā virs ES līgumcenu sliekšņa lielāko noslēgto līgumu summu par veiktajiem iepirkumiem CPV pamatkodu grupās veidoja transporta iekārtas un palīgiekārtas transportēšanai (CPV 34000000-7) - kopsummā par 168,0 milj.EUR. Otru lielāko līgumu summu uzrāda celtniecības darbi (CPV 45000000-7) - kopsummā par 124,2 milj.EUR, un tad seko finanšu un apdrošināšanas pakalpojumi (CPV 66000000-0) - kopsumma 110,8 milj.EUR. Savukārt 2015.gadā virs ES līgumcenu sliekšņa lielāko noslēgto līgumu summu par veiktajiem iepirkumiem veidoja ražošanas iekārtas (42000000-6).</t>
  </si>
  <si>
    <r>
      <t>2016.gadā virs ES līgumcenu sliekšņa kopējā vidējā iepirkumu vērtība ir 6 618 635 EUR</t>
    </r>
    <r>
      <rPr>
        <i/>
        <sz val="11"/>
        <color theme="1"/>
        <rFont val="Calibri"/>
        <family val="2"/>
        <charset val="186"/>
        <scheme val="minor"/>
      </rPr>
      <t xml:space="preserve"> </t>
    </r>
    <r>
      <rPr>
        <sz val="11"/>
        <color theme="1"/>
        <rFont val="Calibri"/>
        <family val="2"/>
        <charset val="186"/>
        <scheme val="minor"/>
      </rPr>
      <t>(vidējā vērtība attiecībā pret 2015.gadu pieaugusi par 2,7 milj.EUR jeb 67,4%). Būvdarbu iepirkumiem virs ES līgumcenu sliekšņa vidējā iepirkumu vērtība ir  41 414 076 EUR (vidējā vērtība attiecībā pret 2015.gadu pieaugusi par 31,7 milj.EUR jeb 329,8%), preču iepirkumiem vidējā vērtība ir 5 273 562 EUR (salīdzinot ar 2015.gadu, 2016.gadā vidējā vērtība pieaugusi par 0,6 milj.EUR jeb 13,3%), savukārt pakalpojumu iepirkumu vidējā vērtība ir 6 140 067 EUR (salīdzinot ar 2015.gadu, 2016.gadā vidējā vērtība ir pieaugusi par 5,6 milj.EUR jeb 292,6%).</t>
    </r>
  </si>
  <si>
    <t>Pārskata gadā zem ES līgumcenu sliekšņa veikti 137 157 iepirkumi par kopējo līgumu summu 759,6 milj.EUR. Salīdzinot ar 2015.gadu, 2016.gadā kopējā noslēgto līgumu summa zem ES līgumcenu sliekšņa pret 2015.gadu ir samazinājusies par 43,0 milj.EUR jeb 5,4%.</t>
  </si>
  <si>
    <t>2016.gadā lielākā zem ES līgumcenu sliekšņa noslēgtā līgumu summa ir elektroenerģijas jomas uzņēmumiem - 444,4 milj.EUR jeb 58,5% īpatsvars no kopējās noslēgto līgumu summas zem ES līgumcenas. 2015.gadā līderos arī bija elektroenerģijas jomas uzņēmumi.</t>
  </si>
  <si>
    <t>Zem ES līgumcenu sliekšņa 2016.gadā lielāko noslēgto līgumu summu īpatsvaru veido pakalpojumu iepirkumi - 426,5 milj.EUR, kas veido 56,1% īpatsvaru no kopējās noslēgtās līgumu summas, tad seko piegāžu iepirkumi - 176,3 milj.EUR, jeb 23,2%, un būvdarbu iepirkumi - 156,8 milj.EUR jeb 20,6% īpatsvara no kopējās noslēgtās līgumu summas zem ES līgumcenu sliekšņa.</t>
  </si>
  <si>
    <t>Vidējais pieauguma temps vērojams zem ES līgumcenu sliekšņa iepirkumiem pēdējo piecu gadu griezumā - 10,7% gadā, bet samazinājuma temps vērojams virs ES līgumcenu sliekšņa iepirkumiem - 10,1% gadā, arī samazinājuma temps vērojams likuma piemērošanas izņēmumu iepirkumiem, pēdējo piecu gadu griezumā - 4,1% gadā.</t>
  </si>
  <si>
    <t>Sabiedrisko pakalpojumu sniedzēju iepirkumu kopējā dinamika no 2010. līdz 2016.gadam</t>
  </si>
  <si>
    <t>Statistikas pārskatu pieprasījuma mērķis ir iegūt kvalitatīvus datus par valstī notiekošajiem sabiedrisko pakalpojumu jomas iepirkumiem un atbilstoši sistematizēt oficiālās statistikas par iepirkumiem Latvijā analīzes procesu.                                                                                                                                                                                                 Publikāciju vadības sistēmā iesniegto gada pārskatu datu pārbaude - no 2017.gada 1.marta līdz 2017.gada aprīlim.                                                                                                   Datu labošana un precizēšana, statistikas pārskatu apkopojuma sagatavošana                                  - no 2017.gada maija līdz 2017.gada jūnijam.</t>
  </si>
  <si>
    <t>Statistikas datu avots - sabiedrisko pakalpojumu sniedzēju sniegtie pārskati par 2016.gadā veiktajiem iepirkumiem un to noslēgtajām līgumu summām:                              - 228 pārskati Nr.3-SPSIL - Pārskats par sabiedrisko pakalpojumu sniedzēju iepirkumiem.</t>
  </si>
  <si>
    <t>31//42</t>
  </si>
  <si>
    <t>28//39</t>
  </si>
  <si>
    <t>23//37</t>
  </si>
  <si>
    <t>67//104</t>
  </si>
  <si>
    <t>No 228 sabiedrisko pakalpojumu sniedzēju sniegtajiem gada pārskatiem 22 uzņēmumi jeb 9,6% piemērojuši iepirkuma procedūru, veicot iepirkumus atbilstoši Sabiedrisko pakalpojumu sniedzēju iepirkumu likuma prasībām. Savukārt 2015.gadā minētais rādītājs bija 9,4%.</t>
  </si>
  <si>
    <t>2016.gadā par sabiedrisko pakalpojumu sniedzēju veiktajiem iepirkumiem tika noslēgti līgumi par kopējo summu 1 529,6 milj.EUR, tajā skaitā par 648,6 milj.EUR noslēgti līgumi par iepirkumiem virs ES līgumcenu sliekšņa (summa attiecīgi pret 2015.gadu palielinājās par 281,1 milj.EUR jeb 76,5% vairāk), par 759,6 milj.EUR noslēgti līgumi par iepirkumiem zem ES līgumcenu sliekšņa (summa attiecībā pret 2015.gadu samazinājusies par 43,0 milj.EUR jeb 5,4% mazāk), un par 121,4 milj.EUR noslēgti līgumi par iepirkumiem, piemērojot likuma izņēmumus (summa attiecībā pret 2015.gadu samazinājusies par 5,1 milj.EUR jeb 4,0% mazāk).</t>
  </si>
  <si>
    <t>Sabiedrisko pakalpojumu sniedzēju iepirkumu likuma ietvaros virs ES līgumcenu sliekšņa, veicot 98 iepirkumus, noslēgti 146 līgumi, kuru skaits, salīdzinot ar 2015.gadu, samazinājies par 127 līgumu jeb 46,5%.</t>
  </si>
  <si>
    <t>Virs ES līgumcenu sliekšņa 2016.gadā lielāko noslēgto līgumu summu īpatsvaru veido preču iepirkumi - 358,6 milj.EUR (summa attiecībā pret 2015.gadu pieaugusi par 60,6 milj.EUR jeb 20,3%), kas veido 55,3% īpatsvaru no kopējās noslēgtās līgumu summas, tad seko pakalpojumu iepirkumi - 165,8 milj.EUR (summa attiecībā pret 2015.gadu ir pieaugusi par 125,2 milj. EUR jeb 308,4%) jeb 25,6%, un būvdarbu iepirkumi - 124,2 milj.EUR (summa pieaugusi par 95,3 milj.EUR jeb 329,7%) jeb 19,1% īpatsvars no kopējās noslēgtās līgumu summas virs ES līgumcenu sliekšņa.</t>
  </si>
  <si>
    <t>Veicot 98 iepirkumus virs ES līgumcenu sliekšņa, piemērots 51 atklāts konkurss, 47 sarunu procedūras, t.sk. 13, nepublicējot dalības uzaicinājumu, un 34, publicējot dalības uzaicinājumu, par kuriem noslēgti 104 līgumi, tai skaitā 42 vispārīgās vienošanās. Salīdzinot ar 2015.gadu, 2016.gadā atklāto konkursu skaits samazinājies par 9 procedūrām jeb 15,0%, savukārt sarunu procedūru skaits 2016.gadā pieaudzis par 16 procedūrām jeb 51,6%, bet slēgts konkurss netika piemērots. Metu konkurss 2016.gadā netika piemērots. Vispārīgās vienošanās skaits samazinājies par 102 vienībām jeb par 70,8% mazāk kā gadu iepriekš.</t>
  </si>
  <si>
    <t xml:space="preserve">Sabiedrisko pakalpojumu sniedzēju apjomīgāko līgumu virs ES līgumcenu sliekšņa slēdzis elektroenerģijas jomas uzņēmums A/S "Augstsprieguma tīkls" būvdarbu iepirkumā "Par "Kurzemes" loka 110 kV elektropārvades līniju pārbūve posmā Ventspils - Tume - Rīga, pastiprinot ar 330 kV līniju" par 110,5 milj.EUR. Arī lielākie iepirkuma veicēji (kopā 52 iepirkumi) virs ES līgumcenu sliekšņa ir elektroenerģijas jomas uzņēmumi. </t>
  </si>
  <si>
    <t>2016.gadā no 146 noslēgtajiem līgumiem (virs ES līgumcenu sliekšņa) 116 līgumi (jeb 79,5% īpatsvara no kopējā līgumu skaita) tika slēgti ar Latvijas piegādātājiem par 511,4 milj.EUR (78,8% īpatsvars no kopējās virs ES līgumcenu sliekšņa noslēgtās līgumu summas), 29 līgumi (19,9% īpatsvars no kopējā līgumu skaita) tika slēgti ar citām Eiropas Savienības valstīm par 137,3 milj.EUR (21,2% īpatsvars no kopējās virs ES līgumcenu sliekšņa noslēgtās līgumu summas) un 1 līgums (0,7% īpatsvars no kopējā līgumu skaita) slēgts ar citām valstīm par 24,6 tūkst.EUR (jeb 0,004% īpatsvara no kopējās virs ES līgumcenu sliekšņa noslēgtās summas).</t>
  </si>
  <si>
    <t>Zem ES līgumcenu sliekšņa kopējā vidējā iepirkumu vērtība ir 5 538 EUR (vidējā vērtība attiecībā pret 2015.gadu samazinājusies par 135 EUR jeb 2,4%). Būvdarbu iepirkumiem zem ES līgumcenu sliekšņa vidējā iepirkumu vērtība ir 27 756 EUR (vidējā iepirkumu vērtība attiecībā pret 2015.gadu samazinājusies par 19 199 EUR jeb 40,9%), preču iepirkumiem vidējā vērtība ir 2 611 EUR (salīdzinot ar 2015.gadu, 2016.gadā vidējā vērtība pieaugusi par 291 EUR jeb 12,5%), savukārt pakalpojumu iepirkumu vidējā vērtība ir 6 664 EUR (salīdzinot ar 2015.gadu, 2016.gadā vidējā vērtība ir palielinājusies par 458 EUR jeb 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</si>
</sst>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00%"/>
  </numFmts>
  <fonts count="11" x14ac:knownFonts="1">
    <font>
      <sz val="11"/>
      <color theme="1"/>
      <name val="Calibri"/>
      <family val="2"/>
      <charset val="186"/>
      <scheme val="minor"/>
    </font>
    <font>
      <b/>
      <sz val="11"/>
      <color theme="1"/>
      <name val="Calibri"/>
      <family val="2"/>
      <charset val="186"/>
      <scheme val="minor"/>
    </font>
    <font>
      <b/>
      <sz val="11"/>
      <color theme="4" tint="-0.249977111117893"/>
      <name val="Calibri"/>
      <family val="2"/>
      <charset val="186"/>
      <scheme val="minor"/>
    </font>
    <font>
      <sz val="10"/>
      <name val="Times New Roman"/>
      <family val="1"/>
      <charset val="186"/>
    </font>
    <font>
      <b/>
      <u/>
      <sz val="11"/>
      <color theme="1"/>
      <name val="Calibri"/>
      <family val="2"/>
      <charset val="186"/>
      <scheme val="minor"/>
    </font>
    <font>
      <i/>
      <sz val="11"/>
      <color theme="1"/>
      <name val="Calibri"/>
      <family val="2"/>
      <charset val="186"/>
      <scheme val="minor"/>
    </font>
    <font>
      <b/>
      <i/>
      <sz val="11"/>
      <color theme="1"/>
      <name val="Calibri"/>
      <family val="2"/>
      <charset val="186"/>
      <scheme val="minor"/>
    </font>
    <font>
      <b/>
      <sz val="11"/>
      <color theme="4"/>
      <name val="Calibri"/>
      <family val="2"/>
      <charset val="186"/>
      <scheme val="minor"/>
    </font>
    <font>
      <sz val="10"/>
      <color indexed="8"/>
      <name val="Arial"/>
      <family val="2"/>
      <charset val="186"/>
    </font>
    <font>
      <b/>
      <sz val="11"/>
      <name val="Calibri"/>
      <family val="2"/>
      <charset val="186"/>
      <scheme val="minor"/>
    </font>
    <font>
      <sz val="11"/>
      <name val="Calibri"/>
      <family val="2"/>
      <charset val="186"/>
      <scheme val="minor"/>
    </font>
  </fonts>
  <fills count="29">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gray0625">
        <bgColor theme="6" tint="0.59999389629810485"/>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bgColor indexed="64"/>
      </patternFill>
    </fill>
    <fill>
      <patternFill patternType="gray0625"/>
    </fill>
    <fill>
      <patternFill patternType="gray0625">
        <bgColor theme="0"/>
      </patternFill>
    </fill>
    <fill>
      <patternFill patternType="gray0625">
        <bgColor theme="6" tint="0.79998168889431442"/>
      </patternFill>
    </fill>
    <fill>
      <patternFill patternType="solid">
        <fgColor rgb="FFFFC000"/>
        <bgColor indexed="64"/>
      </patternFill>
    </fill>
    <fill>
      <patternFill patternType="solid">
        <fgColor theme="7"/>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gray0625">
        <bgColor theme="9" tint="0.79998168889431442"/>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FF7C80"/>
        <bgColor indexed="64"/>
      </patternFill>
    </fill>
    <fill>
      <patternFill patternType="solid">
        <fgColor rgb="FFB482DA"/>
        <bgColor indexed="64"/>
      </patternFill>
    </fill>
    <fill>
      <patternFill patternType="solid">
        <fgColor rgb="FFB685DB"/>
        <bgColor indexed="64"/>
      </patternFill>
    </fill>
    <fill>
      <patternFill patternType="solid">
        <fgColor rgb="FFF1A069"/>
        <bgColor indexed="64"/>
      </patternFill>
    </fill>
    <fill>
      <patternFill patternType="solid">
        <fgColor rgb="FF92D050"/>
        <bgColor indexed="64"/>
      </patternFill>
    </fill>
    <fill>
      <patternFill patternType="solid">
        <fgColor theme="0" tint="-0.499984740745262"/>
        <bgColor indexed="64"/>
      </patternFill>
    </fill>
    <fill>
      <patternFill patternType="solid">
        <fgColor theme="3"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Dash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Dashed">
        <color indexed="64"/>
      </left>
      <right style="thin">
        <color indexed="64"/>
      </right>
      <top style="thin">
        <color indexed="64"/>
      </top>
      <bottom style="double">
        <color indexed="64"/>
      </bottom>
      <diagonal/>
    </border>
    <border>
      <left style="mediumDashed">
        <color indexed="64"/>
      </left>
      <right style="thin">
        <color indexed="64"/>
      </right>
      <top/>
      <bottom style="thin">
        <color indexed="64"/>
      </bottom>
      <diagonal/>
    </border>
    <border>
      <left style="mediumDashed">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Dashed">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ck">
        <color indexed="64"/>
      </bottom>
      <diagonal/>
    </border>
    <border>
      <left style="thin">
        <color indexed="64"/>
      </left>
      <right style="thick">
        <color indexed="64"/>
      </right>
      <top style="thin">
        <color indexed="64"/>
      </top>
      <bottom/>
      <diagonal/>
    </border>
    <border>
      <left/>
      <right style="thin">
        <color indexed="64"/>
      </right>
      <top/>
      <bottom/>
      <diagonal/>
    </border>
  </borders>
  <cellStyleXfs count="2">
    <xf numFmtId="0" fontId="0" fillId="0" borderId="0"/>
    <xf numFmtId="0" fontId="8" fillId="0" borderId="0" applyNumberFormat="0" applyFill="0" applyProtection="0"/>
  </cellStyleXfs>
  <cellXfs count="517">
    <xf numFmtId="0" fontId="0" fillId="0" borderId="0" xfId="0"/>
    <xf numFmtId="0" fontId="0" fillId="2" borderId="1" xfId="0" applyFill="1" applyBorder="1" applyAlignment="1">
      <alignment horizontal="center" wrapText="1"/>
    </xf>
    <xf numFmtId="0" fontId="0" fillId="0" borderId="1" xfId="0" applyBorder="1"/>
    <xf numFmtId="0" fontId="1" fillId="2" borderId="1" xfId="0" applyFont="1" applyFill="1" applyBorder="1" applyAlignment="1">
      <alignment horizontal="right"/>
    </xf>
    <xf numFmtId="0" fontId="0" fillId="2" borderId="1" xfId="0" applyFill="1" applyBorder="1"/>
    <xf numFmtId="0" fontId="1" fillId="2" borderId="1" xfId="0" applyFont="1" applyFill="1" applyBorder="1"/>
    <xf numFmtId="3" fontId="0" fillId="0" borderId="1" xfId="0" applyNumberFormat="1" applyBorder="1"/>
    <xf numFmtId="3" fontId="1" fillId="2" borderId="1" xfId="0" applyNumberFormat="1" applyFont="1" applyFill="1" applyBorder="1"/>
    <xf numFmtId="164" fontId="0" fillId="0" borderId="1" xfId="0" applyNumberFormat="1" applyBorder="1"/>
    <xf numFmtId="164" fontId="1" fillId="2" borderId="1" xfId="0" applyNumberFormat="1" applyFont="1" applyFill="1" applyBorder="1"/>
    <xf numFmtId="0" fontId="0" fillId="0" borderId="1" xfId="0" applyBorder="1" applyAlignment="1">
      <alignment horizontal="right"/>
    </xf>
    <xf numFmtId="2" fontId="0" fillId="0" borderId="1" xfId="0" applyNumberFormat="1" applyBorder="1" applyAlignment="1">
      <alignment horizontal="right"/>
    </xf>
    <xf numFmtId="0" fontId="0" fillId="0" borderId="1" xfId="0" applyBorder="1" applyAlignment="1">
      <alignment wrapText="1"/>
    </xf>
    <xf numFmtId="2" fontId="0" fillId="0" borderId="3" xfId="0" applyNumberFormat="1" applyBorder="1" applyAlignment="1">
      <alignment wrapText="1"/>
    </xf>
    <xf numFmtId="0" fontId="0" fillId="0" borderId="3" xfId="0" applyBorder="1"/>
    <xf numFmtId="0" fontId="0" fillId="0" borderId="2" xfId="0" applyBorder="1"/>
    <xf numFmtId="0" fontId="1" fillId="0" borderId="0" xfId="0" applyFont="1"/>
    <xf numFmtId="0" fontId="0" fillId="0" borderId="0" xfId="0" applyBorder="1" applyAlignment="1">
      <alignment wrapText="1"/>
    </xf>
    <xf numFmtId="0" fontId="0" fillId="0" borderId="0" xfId="0" applyBorder="1"/>
    <xf numFmtId="0" fontId="0" fillId="0" borderId="0" xfId="0" applyAlignment="1">
      <alignment wrapText="1"/>
    </xf>
    <xf numFmtId="165" fontId="0" fillId="0" borderId="1" xfId="0" applyNumberFormat="1" applyBorder="1"/>
    <xf numFmtId="3" fontId="0" fillId="0" borderId="3" xfId="0" applyNumberFormat="1" applyBorder="1"/>
    <xf numFmtId="164" fontId="0" fillId="0" borderId="5" xfId="0" applyNumberFormat="1" applyBorder="1"/>
    <xf numFmtId="0" fontId="2" fillId="0" borderId="0" xfId="0" applyFont="1"/>
    <xf numFmtId="0" fontId="0" fillId="0" borderId="7" xfId="0" applyBorder="1"/>
    <xf numFmtId="3" fontId="0" fillId="0" borderId="8" xfId="0" applyNumberFormat="1" applyBorder="1"/>
    <xf numFmtId="3" fontId="3" fillId="3" borderId="1" xfId="0" applyNumberFormat="1" applyFont="1" applyFill="1" applyBorder="1" applyAlignment="1">
      <alignment wrapText="1"/>
    </xf>
    <xf numFmtId="0" fontId="3" fillId="3" borderId="1" xfId="0" applyFont="1" applyFill="1" applyBorder="1"/>
    <xf numFmtId="0" fontId="3" fillId="3" borderId="1" xfId="0" applyFont="1" applyFill="1" applyBorder="1" applyAlignment="1">
      <alignment wrapText="1"/>
    </xf>
    <xf numFmtId="3" fontId="3" fillId="3" borderId="1" xfId="0" applyNumberFormat="1" applyFont="1" applyFill="1" applyBorder="1" applyAlignment="1">
      <alignment horizontal="left" vertical="center"/>
    </xf>
    <xf numFmtId="0" fontId="3" fillId="0" borderId="1" xfId="0" applyFont="1" applyFill="1" applyBorder="1"/>
    <xf numFmtId="3" fontId="0" fillId="0" borderId="0" xfId="0" applyNumberFormat="1"/>
    <xf numFmtId="3" fontId="0" fillId="0" borderId="0" xfId="0" applyNumberFormat="1" applyBorder="1"/>
    <xf numFmtId="3" fontId="0" fillId="0" borderId="1" xfId="0" applyNumberFormat="1" applyBorder="1" applyAlignment="1"/>
    <xf numFmtId="0" fontId="0" fillId="0" borderId="10" xfId="0" applyBorder="1"/>
    <xf numFmtId="3" fontId="0" fillId="0" borderId="10" xfId="0" applyNumberFormat="1" applyBorder="1"/>
    <xf numFmtId="0" fontId="0" fillId="4" borderId="4" xfId="0" applyFill="1" applyBorder="1"/>
    <xf numFmtId="0" fontId="0" fillId="4" borderId="6" xfId="0" applyFill="1" applyBorder="1"/>
    <xf numFmtId="0" fontId="0" fillId="4" borderId="3" xfId="0" applyFill="1" applyBorder="1"/>
    <xf numFmtId="3" fontId="0" fillId="0" borderId="0" xfId="0" applyNumberFormat="1" applyFill="1" applyBorder="1"/>
    <xf numFmtId="165" fontId="0" fillId="0" borderId="1" xfId="0" applyNumberFormat="1" applyFill="1" applyBorder="1"/>
    <xf numFmtId="165" fontId="0" fillId="0" borderId="0" xfId="0" applyNumberFormat="1" applyFill="1" applyBorder="1"/>
    <xf numFmtId="164" fontId="0" fillId="0" borderId="10" xfId="0" applyNumberFormat="1" applyBorder="1"/>
    <xf numFmtId="0" fontId="0" fillId="0" borderId="9" xfId="0" applyBorder="1"/>
    <xf numFmtId="0" fontId="0" fillId="3" borderId="0" xfId="0" applyFill="1" applyBorder="1" applyAlignment="1">
      <alignment horizontal="center" vertical="center" wrapText="1"/>
    </xf>
    <xf numFmtId="3" fontId="0" fillId="3" borderId="0" xfId="0" applyNumberFormat="1" applyFill="1" applyBorder="1"/>
    <xf numFmtId="0" fontId="0" fillId="3" borderId="0" xfId="0" applyFill="1" applyBorder="1"/>
    <xf numFmtId="4" fontId="0" fillId="0" borderId="0" xfId="0" applyNumberFormat="1" applyBorder="1"/>
    <xf numFmtId="3" fontId="0" fillId="0" borderId="1" xfId="0" applyNumberFormat="1" applyFill="1" applyBorder="1"/>
    <xf numFmtId="3" fontId="0" fillId="0" borderId="7" xfId="0" applyNumberFormat="1" applyBorder="1"/>
    <xf numFmtId="3" fontId="0" fillId="0" borderId="2" xfId="0" applyNumberFormat="1" applyBorder="1"/>
    <xf numFmtId="3" fontId="0" fillId="0" borderId="13" xfId="0" applyNumberFormat="1" applyBorder="1"/>
    <xf numFmtId="3" fontId="0" fillId="0" borderId="16" xfId="0" applyNumberFormat="1" applyBorder="1"/>
    <xf numFmtId="3" fontId="1" fillId="0" borderId="3" xfId="0" applyNumberFormat="1" applyFont="1" applyBorder="1"/>
    <xf numFmtId="3" fontId="1" fillId="0" borderId="11" xfId="0" applyNumberFormat="1" applyFont="1" applyBorder="1"/>
    <xf numFmtId="3" fontId="1" fillId="0" borderId="17" xfId="0" applyNumberFormat="1" applyFont="1" applyBorder="1"/>
    <xf numFmtId="0" fontId="0" fillId="0" borderId="19" xfId="0" applyBorder="1"/>
    <xf numFmtId="0" fontId="0" fillId="0" borderId="4" xfId="0" applyBorder="1"/>
    <xf numFmtId="3" fontId="0" fillId="0" borderId="4" xfId="0" applyNumberFormat="1" applyBorder="1"/>
    <xf numFmtId="0" fontId="0" fillId="0" borderId="4" xfId="0" applyFill="1" applyBorder="1"/>
    <xf numFmtId="3" fontId="0" fillId="0" borderId="20" xfId="0" applyNumberFormat="1" applyFill="1" applyBorder="1"/>
    <xf numFmtId="3" fontId="0" fillId="0" borderId="3" xfId="0" applyNumberFormat="1" applyFill="1" applyBorder="1"/>
    <xf numFmtId="3" fontId="0" fillId="0" borderId="11" xfId="0" applyNumberFormat="1" applyBorder="1"/>
    <xf numFmtId="3" fontId="0" fillId="5" borderId="12" xfId="0" applyNumberFormat="1" applyFill="1" applyBorder="1"/>
    <xf numFmtId="0" fontId="0" fillId="5" borderId="12" xfId="0" applyFill="1" applyBorder="1"/>
    <xf numFmtId="164" fontId="0" fillId="5" borderId="12" xfId="0" applyNumberFormat="1" applyFill="1" applyBorder="1"/>
    <xf numFmtId="0" fontId="0" fillId="6" borderId="10" xfId="0" applyFill="1" applyBorder="1" applyAlignment="1">
      <alignment horizontal="center" vertical="center" wrapText="1"/>
    </xf>
    <xf numFmtId="0" fontId="0" fillId="6" borderId="7" xfId="0" applyFill="1" applyBorder="1" applyAlignment="1">
      <alignment horizontal="center" vertical="center" wrapText="1"/>
    </xf>
    <xf numFmtId="0" fontId="0" fillId="6" borderId="1" xfId="0" applyFill="1" applyBorder="1" applyAlignment="1">
      <alignment horizontal="center" vertical="center" wrapText="1"/>
    </xf>
    <xf numFmtId="0" fontId="0" fillId="6" borderId="8" xfId="0" applyFill="1" applyBorder="1" applyAlignment="1">
      <alignment horizontal="center" vertical="center" wrapText="1"/>
    </xf>
    <xf numFmtId="0" fontId="0" fillId="7" borderId="1" xfId="0" applyFill="1" applyBorder="1"/>
    <xf numFmtId="0" fontId="0" fillId="3" borderId="1" xfId="0" applyFill="1" applyBorder="1"/>
    <xf numFmtId="166" fontId="0" fillId="3" borderId="1" xfId="0" applyNumberFormat="1" applyFill="1" applyBorder="1"/>
    <xf numFmtId="164" fontId="0" fillId="3" borderId="1" xfId="0" applyNumberFormat="1" applyFill="1" applyBorder="1"/>
    <xf numFmtId="0" fontId="0" fillId="6" borderId="1" xfId="0" applyFill="1" applyBorder="1"/>
    <xf numFmtId="164" fontId="0" fillId="8" borderId="1" xfId="0" applyNumberFormat="1" applyFill="1" applyBorder="1"/>
    <xf numFmtId="164" fontId="0" fillId="8" borderId="2" xfId="0" applyNumberFormat="1" applyFill="1" applyBorder="1"/>
    <xf numFmtId="164" fontId="1" fillId="9" borderId="3" xfId="0" applyNumberFormat="1" applyFont="1" applyFill="1" applyBorder="1"/>
    <xf numFmtId="164" fontId="0" fillId="8" borderId="21" xfId="0" applyNumberFormat="1" applyFill="1" applyBorder="1"/>
    <xf numFmtId="164" fontId="0" fillId="8" borderId="4" xfId="0" applyNumberFormat="1" applyFill="1" applyBorder="1"/>
    <xf numFmtId="164" fontId="0" fillId="10" borderId="12" xfId="0" applyNumberFormat="1" applyFill="1" applyBorder="1"/>
    <xf numFmtId="0" fontId="0" fillId="10" borderId="12" xfId="0" applyFill="1" applyBorder="1"/>
    <xf numFmtId="0" fontId="0" fillId="10" borderId="10" xfId="0" applyFill="1" applyBorder="1"/>
    <xf numFmtId="164" fontId="0" fillId="8" borderId="17" xfId="0" applyNumberFormat="1" applyFill="1" applyBorder="1"/>
    <xf numFmtId="164" fontId="0" fillId="8" borderId="3" xfId="0" applyNumberFormat="1" applyFill="1" applyBorder="1"/>
    <xf numFmtId="164" fontId="0" fillId="8" borderId="7" xfId="0" applyNumberFormat="1" applyFill="1" applyBorder="1"/>
    <xf numFmtId="0" fontId="0" fillId="8" borderId="1" xfId="0" applyFill="1" applyBorder="1"/>
    <xf numFmtId="164" fontId="0" fillId="8" borderId="8" xfId="0" applyNumberFormat="1" applyFill="1" applyBorder="1"/>
    <xf numFmtId="0" fontId="0" fillId="0" borderId="1" xfId="0" applyBorder="1" applyAlignment="1">
      <alignment horizontal="right"/>
    </xf>
    <xf numFmtId="0" fontId="0" fillId="3" borderId="10" xfId="0" applyFill="1" applyBorder="1"/>
    <xf numFmtId="0" fontId="0" fillId="6" borderId="9" xfId="0" applyFill="1" applyBorder="1" applyAlignment="1">
      <alignment horizontal="center" vertical="center" wrapText="1"/>
    </xf>
    <xf numFmtId="3" fontId="0" fillId="0" borderId="9" xfId="0" applyNumberFormat="1" applyBorder="1"/>
    <xf numFmtId="0" fontId="0" fillId="0" borderId="8" xfId="0" applyBorder="1"/>
    <xf numFmtId="0" fontId="0" fillId="6" borderId="22" xfId="0" applyFill="1" applyBorder="1" applyAlignment="1">
      <alignment horizontal="center" vertical="center" wrapText="1"/>
    </xf>
    <xf numFmtId="0" fontId="0" fillId="2" borderId="1" xfId="0" applyFill="1" applyBorder="1" applyAlignment="1">
      <alignment horizontal="right"/>
    </xf>
    <xf numFmtId="3" fontId="0" fillId="2" borderId="8" xfId="0" applyNumberFormat="1" applyFill="1" applyBorder="1"/>
    <xf numFmtId="0" fontId="0" fillId="2" borderId="7" xfId="0" applyFill="1" applyBorder="1"/>
    <xf numFmtId="0" fontId="0" fillId="2" borderId="10" xfId="0" applyFill="1" applyBorder="1"/>
    <xf numFmtId="3" fontId="0" fillId="2" borderId="9" xfId="0" applyNumberFormat="1" applyFill="1" applyBorder="1"/>
    <xf numFmtId="16" fontId="0" fillId="2" borderId="1" xfId="0" applyNumberFormat="1" applyFill="1" applyBorder="1" applyAlignment="1">
      <alignment horizontal="right"/>
    </xf>
    <xf numFmtId="0" fontId="4" fillId="0" borderId="0" xfId="0" applyFont="1"/>
    <xf numFmtId="0" fontId="0" fillId="5" borderId="0" xfId="0" applyFill="1" applyAlignment="1">
      <alignment horizontal="right"/>
    </xf>
    <xf numFmtId="0" fontId="0" fillId="5" borderId="0" xfId="0" applyFill="1"/>
    <xf numFmtId="3" fontId="0" fillId="5" borderId="0" xfId="0" applyNumberFormat="1" applyFill="1"/>
    <xf numFmtId="0" fontId="5" fillId="0" borderId="1" xfId="0" applyFont="1" applyBorder="1" applyAlignment="1">
      <alignment horizontal="right"/>
    </xf>
    <xf numFmtId="3" fontId="0" fillId="0" borderId="24" xfId="0" applyNumberFormat="1" applyBorder="1"/>
    <xf numFmtId="0" fontId="0" fillId="5" borderId="1" xfId="0" applyFill="1" applyBorder="1"/>
    <xf numFmtId="0" fontId="0" fillId="5" borderId="7" xfId="0" applyFill="1" applyBorder="1"/>
    <xf numFmtId="0" fontId="0" fillId="5" borderId="10" xfId="0" applyFill="1" applyBorder="1"/>
    <xf numFmtId="0" fontId="0" fillId="5" borderId="1" xfId="0" applyFill="1" applyBorder="1" applyAlignment="1">
      <alignment horizontal="right"/>
    </xf>
    <xf numFmtId="3" fontId="0" fillId="5" borderId="8" xfId="0" applyNumberFormat="1" applyFill="1" applyBorder="1"/>
    <xf numFmtId="3" fontId="0" fillId="5" borderId="9" xfId="0" applyNumberFormat="1" applyFill="1" applyBorder="1"/>
    <xf numFmtId="0" fontId="0" fillId="5" borderId="22" xfId="0" applyFill="1" applyBorder="1"/>
    <xf numFmtId="3" fontId="0" fillId="5" borderId="1" xfId="0" applyNumberFormat="1" applyFill="1" applyBorder="1"/>
    <xf numFmtId="0" fontId="1" fillId="11" borderId="1" xfId="0" applyFont="1" applyFill="1" applyBorder="1"/>
    <xf numFmtId="0" fontId="0" fillId="2" borderId="22" xfId="0" applyFill="1" applyBorder="1"/>
    <xf numFmtId="3" fontId="0" fillId="2" borderId="1" xfId="0" applyNumberFormat="1" applyFill="1" applyBorder="1"/>
    <xf numFmtId="0" fontId="0" fillId="0" borderId="0" xfId="0" applyFill="1" applyBorder="1"/>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164" fontId="0" fillId="0" borderId="8" xfId="0" applyNumberFormat="1" applyBorder="1"/>
    <xf numFmtId="0" fontId="4" fillId="0" borderId="0" xfId="0" applyFont="1" applyFill="1" applyBorder="1" applyAlignment="1">
      <alignment horizontal="left"/>
    </xf>
    <xf numFmtId="0" fontId="0" fillId="6" borderId="1" xfId="0" applyFill="1" applyBorder="1" applyAlignment="1">
      <alignment horizontal="center" vertical="center"/>
    </xf>
    <xf numFmtId="0" fontId="0" fillId="12" borderId="1" xfId="0" applyFill="1" applyBorder="1"/>
    <xf numFmtId="3" fontId="0" fillId="7" borderId="8" xfId="0" applyNumberFormat="1" applyFill="1" applyBorder="1"/>
    <xf numFmtId="0" fontId="0" fillId="7" borderId="7" xfId="0" applyFill="1" applyBorder="1"/>
    <xf numFmtId="0" fontId="0" fillId="7" borderId="10" xfId="0" applyFill="1" applyBorder="1"/>
    <xf numFmtId="3" fontId="0" fillId="7" borderId="9" xfId="0" applyNumberFormat="1" applyFill="1" applyBorder="1"/>
    <xf numFmtId="0" fontId="0" fillId="7" borderId="22" xfId="0" applyFill="1" applyBorder="1"/>
    <xf numFmtId="3" fontId="0" fillId="7" borderId="1" xfId="0" applyNumberFormat="1" applyFill="1" applyBorder="1"/>
    <xf numFmtId="0" fontId="0" fillId="7" borderId="1" xfId="0" applyFill="1" applyBorder="1" applyAlignment="1">
      <alignment horizontal="right"/>
    </xf>
    <xf numFmtId="0" fontId="0" fillId="3" borderId="25" xfId="0" applyFill="1" applyBorder="1"/>
    <xf numFmtId="0" fontId="7" fillId="0" borderId="0" xfId="0" applyFont="1"/>
    <xf numFmtId="0" fontId="1" fillId="6" borderId="1" xfId="0" applyFont="1" applyFill="1" applyBorder="1" applyAlignment="1">
      <alignment horizontal="center"/>
    </xf>
    <xf numFmtId="3" fontId="0" fillId="6" borderId="1" xfId="0" applyNumberFormat="1" applyFill="1" applyBorder="1"/>
    <xf numFmtId="0" fontId="0" fillId="0" borderId="1" xfId="0" applyFill="1" applyBorder="1"/>
    <xf numFmtId="0" fontId="0" fillId="3" borderId="1" xfId="0" applyFont="1" applyFill="1" applyBorder="1" applyAlignment="1">
      <alignment horizontal="left"/>
    </xf>
    <xf numFmtId="0" fontId="0" fillId="6" borderId="1" xfId="0" applyFill="1" applyBorder="1" applyAlignment="1">
      <alignment horizontal="center" vertical="center" wrapText="1"/>
    </xf>
    <xf numFmtId="0" fontId="0" fillId="0" borderId="1" xfId="0" applyBorder="1" applyAlignment="1"/>
    <xf numFmtId="0" fontId="0" fillId="0" borderId="1" xfId="0" applyFill="1" applyBorder="1" applyAlignment="1"/>
    <xf numFmtId="0" fontId="0" fillId="0" borderId="5" xfId="0" applyBorder="1"/>
    <xf numFmtId="0" fontId="0" fillId="0" borderId="26" xfId="0" applyFill="1" applyBorder="1" applyAlignment="1"/>
    <xf numFmtId="0" fontId="0" fillId="0" borderId="5" xfId="0" applyFill="1" applyBorder="1" applyAlignment="1"/>
    <xf numFmtId="0" fontId="0" fillId="0" borderId="26" xfId="0" applyFill="1" applyBorder="1"/>
    <xf numFmtId="0" fontId="0" fillId="0" borderId="5" xfId="0" applyFill="1" applyBorder="1"/>
    <xf numFmtId="3" fontId="0" fillId="6" borderId="1" xfId="0" applyNumberFormat="1" applyFill="1" applyBorder="1" applyAlignment="1">
      <alignment horizontal="center" vertical="center"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0" fillId="0" borderId="27" xfId="0" applyFill="1" applyBorder="1"/>
    <xf numFmtId="0" fontId="0" fillId="0" borderId="27" xfId="0" applyFill="1" applyBorder="1" applyAlignment="1"/>
    <xf numFmtId="0" fontId="7" fillId="0" borderId="0" xfId="0" applyFont="1" applyFill="1" applyBorder="1" applyAlignment="1">
      <alignment horizontal="right"/>
    </xf>
    <xf numFmtId="0" fontId="7" fillId="0" borderId="0" xfId="0" applyFont="1" applyAlignment="1">
      <alignment wrapText="1"/>
    </xf>
    <xf numFmtId="164" fontId="0" fillId="0" borderId="0" xfId="0" applyNumberFormat="1" applyBorder="1"/>
    <xf numFmtId="3" fontId="1" fillId="0" borderId="0" xfId="0" applyNumberFormat="1" applyFont="1" applyBorder="1"/>
    <xf numFmtId="164" fontId="1" fillId="0" borderId="0" xfId="0" applyNumberFormat="1" applyFont="1" applyBorder="1"/>
    <xf numFmtId="3" fontId="0" fillId="0" borderId="0" xfId="0" applyNumberFormat="1" applyFont="1" applyBorder="1"/>
    <xf numFmtId="3" fontId="0" fillId="0" borderId="0" xfId="0" applyNumberFormat="1" applyFont="1"/>
    <xf numFmtId="3" fontId="0" fillId="0" borderId="1" xfId="0" applyNumberFormat="1" applyFont="1" applyBorder="1"/>
    <xf numFmtId="0" fontId="0" fillId="0" borderId="24" xfId="0" applyBorder="1"/>
    <xf numFmtId="0" fontId="0" fillId="0" borderId="0" xfId="0" applyFill="1" applyBorder="1" applyAlignment="1"/>
    <xf numFmtId="4" fontId="0" fillId="0" borderId="1" xfId="0" applyNumberFormat="1" applyBorder="1"/>
    <xf numFmtId="4" fontId="0" fillId="0" borderId="5" xfId="0" applyNumberFormat="1" applyBorder="1"/>
    <xf numFmtId="2" fontId="0" fillId="0" borderId="3" xfId="0" applyNumberFormat="1" applyBorder="1"/>
    <xf numFmtId="9" fontId="0" fillId="0" borderId="3" xfId="0" applyNumberFormat="1" applyBorder="1"/>
    <xf numFmtId="2" fontId="0" fillId="3" borderId="1" xfId="0" applyNumberFormat="1" applyFill="1" applyBorder="1"/>
    <xf numFmtId="4" fontId="0" fillId="3" borderId="1" xfId="0" applyNumberFormat="1" applyFill="1" applyBorder="1"/>
    <xf numFmtId="0" fontId="0" fillId="6" borderId="24" xfId="0" applyFill="1" applyBorder="1" applyAlignment="1">
      <alignment horizontal="center" vertical="center" wrapText="1"/>
    </xf>
    <xf numFmtId="0" fontId="1" fillId="6" borderId="1" xfId="0" applyFont="1" applyFill="1" applyBorder="1"/>
    <xf numFmtId="3" fontId="1" fillId="6" borderId="1" xfId="0" applyNumberFormat="1" applyFont="1" applyFill="1" applyBorder="1"/>
    <xf numFmtId="164" fontId="1" fillId="6" borderId="1" xfId="0" applyNumberFormat="1" applyFont="1" applyFill="1" applyBorder="1"/>
    <xf numFmtId="0" fontId="1" fillId="6" borderId="1" xfId="0" applyFont="1" applyFill="1" applyBorder="1" applyAlignment="1">
      <alignment horizontal="right"/>
    </xf>
    <xf numFmtId="3" fontId="0" fillId="3" borderId="0" xfId="0" applyNumberFormat="1" applyFill="1"/>
    <xf numFmtId="0" fontId="0" fillId="3" borderId="0" xfId="0" applyFill="1"/>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0" fillId="0" borderId="3" xfId="0" applyFill="1" applyBorder="1" applyAlignment="1"/>
    <xf numFmtId="3" fontId="0" fillId="3" borderId="1" xfId="0" applyNumberFormat="1" applyFill="1" applyBorder="1" applyAlignment="1">
      <alignment wrapText="1"/>
    </xf>
    <xf numFmtId="3" fontId="0" fillId="3" borderId="5" xfId="0" applyNumberFormat="1" applyFill="1" applyBorder="1"/>
    <xf numFmtId="3" fontId="0" fillId="3" borderId="26" xfId="0" applyNumberFormat="1" applyFill="1" applyBorder="1"/>
    <xf numFmtId="3" fontId="0" fillId="3" borderId="1" xfId="0" applyNumberFormat="1" applyFill="1" applyBorder="1"/>
    <xf numFmtId="3" fontId="0" fillId="3" borderId="3" xfId="0" applyNumberFormat="1" applyFill="1" applyBorder="1"/>
    <xf numFmtId="3" fontId="0" fillId="3" borderId="27" xfId="0" applyNumberFormat="1" applyFill="1" applyBorder="1"/>
    <xf numFmtId="0" fontId="1" fillId="6" borderId="3" xfId="0" applyFont="1" applyFill="1" applyBorder="1" applyAlignment="1">
      <alignment horizontal="right"/>
    </xf>
    <xf numFmtId="0" fontId="1" fillId="6" borderId="3" xfId="0" applyFont="1" applyFill="1" applyBorder="1"/>
    <xf numFmtId="3" fontId="1" fillId="6" borderId="3" xfId="0" applyNumberFormat="1" applyFont="1" applyFill="1" applyBorder="1"/>
    <xf numFmtId="164" fontId="1" fillId="6" borderId="3" xfId="0" applyNumberFormat="1" applyFont="1" applyFill="1" applyBorder="1"/>
    <xf numFmtId="3" fontId="0" fillId="6" borderId="1" xfId="0" applyNumberFormat="1" applyFill="1" applyBorder="1" applyAlignment="1">
      <alignment horizontal="center" vertical="center"/>
    </xf>
    <xf numFmtId="0" fontId="1" fillId="6" borderId="1" xfId="0" applyFont="1" applyFill="1" applyBorder="1" applyAlignment="1">
      <alignment horizontal="right" wrapText="1"/>
    </xf>
    <xf numFmtId="164" fontId="0" fillId="0" borderId="0" xfId="0" applyNumberFormat="1"/>
    <xf numFmtId="0" fontId="0" fillId="3" borderId="1" xfId="0" applyFill="1" applyBorder="1" applyAlignment="1">
      <alignment horizontal="center" vertical="center"/>
    </xf>
    <xf numFmtId="164" fontId="0" fillId="3" borderId="1" xfId="0" applyNumberFormat="1" applyFill="1" applyBorder="1" applyAlignment="1">
      <alignment horizontal="right" vertical="center"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0" fillId="13" borderId="1" xfId="0" applyFill="1" applyBorder="1"/>
    <xf numFmtId="3" fontId="0" fillId="13" borderId="1" xfId="0" applyNumberFormat="1" applyFill="1" applyBorder="1"/>
    <xf numFmtId="164" fontId="0" fillId="13" borderId="1" xfId="0" applyNumberFormat="1" applyFill="1" applyBorder="1"/>
    <xf numFmtId="0" fontId="0" fillId="14" borderId="1" xfId="0" applyFill="1" applyBorder="1"/>
    <xf numFmtId="3" fontId="0" fillId="14" borderId="1" xfId="0" applyNumberFormat="1" applyFill="1" applyBorder="1"/>
    <xf numFmtId="164" fontId="0" fillId="14" borderId="1" xfId="0" applyNumberFormat="1" applyFill="1" applyBorder="1"/>
    <xf numFmtId="0" fontId="0" fillId="14" borderId="1" xfId="0" applyFill="1" applyBorder="1" applyAlignment="1">
      <alignment wrapText="1"/>
    </xf>
    <xf numFmtId="0" fontId="0" fillId="6" borderId="4" xfId="0" applyFill="1" applyBorder="1" applyAlignment="1">
      <alignment horizontal="center" vertical="center"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0" fillId="6" borderId="4" xfId="0" applyFill="1" applyBorder="1" applyAlignment="1">
      <alignment horizontal="center" vertical="center"/>
    </xf>
    <xf numFmtId="0" fontId="6" fillId="3" borderId="1" xfId="0" applyFont="1" applyFill="1" applyBorder="1" applyAlignment="1">
      <alignment horizontal="right" wrapText="1"/>
    </xf>
    <xf numFmtId="0" fontId="6" fillId="3" borderId="1" xfId="0" applyFont="1" applyFill="1" applyBorder="1"/>
    <xf numFmtId="166" fontId="0" fillId="0" borderId="1" xfId="0" applyNumberFormat="1" applyBorder="1"/>
    <xf numFmtId="0" fontId="0" fillId="0" borderId="12" xfId="0" applyBorder="1"/>
    <xf numFmtId="166" fontId="0" fillId="0" borderId="10" xfId="0" applyNumberFormat="1" applyBorder="1"/>
    <xf numFmtId="0" fontId="0" fillId="0" borderId="20" xfId="0" applyBorder="1"/>
    <xf numFmtId="0" fontId="0" fillId="0" borderId="30" xfId="0" applyBorder="1"/>
    <xf numFmtId="0" fontId="0" fillId="6" borderId="12" xfId="0" applyFill="1" applyBorder="1"/>
    <xf numFmtId="0" fontId="0" fillId="6" borderId="10" xfId="0" applyFill="1" applyBorder="1"/>
    <xf numFmtId="0" fontId="0" fillId="0" borderId="8" xfId="0" applyBorder="1" applyAlignment="1">
      <alignment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 fillId="16" borderId="1" xfId="0" applyFont="1" applyFill="1" applyBorder="1" applyAlignment="1">
      <alignment horizontal="right"/>
    </xf>
    <xf numFmtId="3" fontId="1" fillId="16" borderId="1" xfId="0" applyNumberFormat="1" applyFont="1" applyFill="1" applyBorder="1"/>
    <xf numFmtId="164" fontId="1" fillId="16" borderId="1" xfId="0" applyNumberFormat="1" applyFont="1" applyFill="1" applyBorder="1"/>
    <xf numFmtId="0" fontId="0" fillId="16" borderId="1" xfId="0" applyFill="1" applyBorder="1" applyAlignment="1">
      <alignment horizontal="center" vertical="center"/>
    </xf>
    <xf numFmtId="0" fontId="1" fillId="16" borderId="1" xfId="0" applyFont="1" applyFill="1" applyBorder="1" applyAlignment="1">
      <alignment horizontal="right" wrapText="1"/>
    </xf>
    <xf numFmtId="0" fontId="0" fillId="16" borderId="1" xfId="0" applyFill="1" applyBorder="1"/>
    <xf numFmtId="0" fontId="0" fillId="16" borderId="20" xfId="0" applyFill="1" applyBorder="1"/>
    <xf numFmtId="0" fontId="0" fillId="16" borderId="30" xfId="0" applyFill="1" applyBorder="1"/>
    <xf numFmtId="0" fontId="0" fillId="16" borderId="19" xfId="0" applyFill="1" applyBorder="1"/>
    <xf numFmtId="0" fontId="0" fillId="16" borderId="10" xfId="0" applyFill="1" applyBorder="1" applyAlignment="1">
      <alignment horizontal="center" vertical="center" wrapText="1"/>
    </xf>
    <xf numFmtId="0" fontId="0" fillId="16" borderId="8" xfId="0" applyFill="1" applyBorder="1"/>
    <xf numFmtId="0" fontId="0" fillId="16" borderId="10" xfId="0" applyFill="1" applyBorder="1"/>
    <xf numFmtId="0" fontId="0" fillId="16" borderId="8" xfId="0" applyFill="1" applyBorder="1" applyAlignment="1">
      <alignment horizontal="center" vertical="center" wrapText="1"/>
    </xf>
    <xf numFmtId="0" fontId="0" fillId="16" borderId="12" xfId="0" applyFill="1" applyBorder="1"/>
    <xf numFmtId="0" fontId="0" fillId="15" borderId="8" xfId="0" applyFill="1" applyBorder="1" applyAlignment="1">
      <alignment horizontal="center" vertical="center" wrapText="1"/>
    </xf>
    <xf numFmtId="0" fontId="0" fillId="15" borderId="7" xfId="0" applyFill="1" applyBorder="1" applyAlignment="1">
      <alignment horizontal="center" vertical="center" wrapText="1"/>
    </xf>
    <xf numFmtId="0" fontId="0" fillId="15" borderId="1" xfId="0" applyFill="1" applyBorder="1" applyAlignment="1">
      <alignment wrapText="1"/>
    </xf>
    <xf numFmtId="0" fontId="0" fillId="17" borderId="1" xfId="0" applyFill="1" applyBorder="1" applyAlignment="1">
      <alignment wrapText="1"/>
    </xf>
    <xf numFmtId="0" fontId="0" fillId="17" borderId="8" xfId="0" applyFill="1" applyBorder="1" applyAlignment="1">
      <alignment wrapText="1"/>
    </xf>
    <xf numFmtId="0" fontId="0" fillId="15" borderId="10" xfId="0" applyFill="1" applyBorder="1"/>
    <xf numFmtId="0" fontId="0" fillId="15" borderId="1" xfId="0" applyFill="1" applyBorder="1"/>
    <xf numFmtId="0" fontId="0" fillId="15" borderId="10" xfId="0" applyFill="1" applyBorder="1" applyAlignment="1">
      <alignment wrapText="1"/>
    </xf>
    <xf numFmtId="0" fontId="0" fillId="15" borderId="1" xfId="0" applyFill="1" applyBorder="1" applyAlignment="1">
      <alignment horizontal="center" wrapText="1"/>
    </xf>
    <xf numFmtId="0" fontId="0" fillId="15" borderId="10" xfId="0" applyFill="1" applyBorder="1" applyAlignment="1">
      <alignment horizontal="center" vertical="center" wrapText="1"/>
    </xf>
    <xf numFmtId="0" fontId="0" fillId="17" borderId="7" xfId="0" applyFill="1" applyBorder="1" applyAlignment="1">
      <alignment horizontal="center" vertical="center" wrapText="1"/>
    </xf>
    <xf numFmtId="0" fontId="0" fillId="17" borderId="1" xfId="0" applyFill="1" applyBorder="1" applyAlignment="1">
      <alignment horizontal="center" vertical="center" wrapText="1"/>
    </xf>
    <xf numFmtId="0" fontId="0" fillId="15" borderId="8" xfId="0" applyFill="1" applyBorder="1" applyAlignment="1">
      <alignment wrapText="1"/>
    </xf>
    <xf numFmtId="0" fontId="0" fillId="15" borderId="7" xfId="0" applyFill="1" applyBorder="1" applyAlignment="1">
      <alignment wrapText="1"/>
    </xf>
    <xf numFmtId="0" fontId="0" fillId="15" borderId="1" xfId="0" applyFill="1" applyBorder="1" applyAlignment="1">
      <alignment horizontal="center"/>
    </xf>
    <xf numFmtId="0" fontId="0" fillId="17" borderId="1" xfId="0" applyFill="1" applyBorder="1" applyAlignment="1">
      <alignment horizontal="center" wrapText="1"/>
    </xf>
    <xf numFmtId="3" fontId="0" fillId="15" borderId="9" xfId="0" applyNumberFormat="1" applyFill="1" applyBorder="1"/>
    <xf numFmtId="0" fontId="0" fillId="15" borderId="9" xfId="0" applyFill="1" applyBorder="1"/>
    <xf numFmtId="0" fontId="0" fillId="15" borderId="10" xfId="0" applyFill="1" applyBorder="1" applyAlignment="1">
      <alignment horizontal="center" wrapText="1"/>
    </xf>
    <xf numFmtId="0" fontId="0" fillId="15" borderId="0" xfId="0" applyFill="1"/>
    <xf numFmtId="0" fontId="0" fillId="6" borderId="0" xfId="0" applyFill="1"/>
    <xf numFmtId="0" fontId="0" fillId="0" borderId="0" xfId="0" applyAlignment="1">
      <alignment horizontal="right"/>
    </xf>
    <xf numFmtId="0" fontId="1" fillId="0" borderId="8" xfId="0" applyFont="1" applyBorder="1"/>
    <xf numFmtId="0" fontId="0" fillId="0" borderId="6" xfId="0" applyBorder="1"/>
    <xf numFmtId="0" fontId="1" fillId="6" borderId="8" xfId="0" applyFont="1" applyFill="1" applyBorder="1"/>
    <xf numFmtId="0" fontId="1" fillId="6" borderId="10" xfId="0" applyFont="1" applyFill="1" applyBorder="1" applyAlignment="1">
      <alignment horizontal="right"/>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164" fontId="0" fillId="6" borderId="1" xfId="0" applyNumberFormat="1" applyFill="1" applyBorder="1"/>
    <xf numFmtId="0" fontId="0" fillId="6" borderId="1" xfId="0" applyFill="1" applyBorder="1" applyAlignment="1">
      <alignment horizontal="right"/>
    </xf>
    <xf numFmtId="0" fontId="1" fillId="8" borderId="1" xfId="0" applyFont="1" applyFill="1" applyBorder="1" applyAlignment="1">
      <alignment horizontal="right"/>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1" fillId="6" borderId="1" xfId="0" applyFont="1" applyFill="1" applyBorder="1" applyAlignment="1">
      <alignment horizontal="left"/>
    </xf>
    <xf numFmtId="0" fontId="0" fillId="0" borderId="1" xfId="0" applyBorder="1" applyAlignment="1">
      <alignment horizontal="left"/>
    </xf>
    <xf numFmtId="0" fontId="0" fillId="0" borderId="1" xfId="0" applyBorder="1" applyAlignment="1">
      <alignment horizontal="right"/>
    </xf>
    <xf numFmtId="0" fontId="0" fillId="0" borderId="1" xfId="0" applyFill="1" applyBorder="1" applyAlignment="1">
      <alignment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1" fillId="6" borderId="1" xfId="0" applyFont="1" applyFill="1" applyBorder="1" applyAlignment="1">
      <alignment horizontal="left"/>
    </xf>
    <xf numFmtId="0" fontId="0" fillId="0" borderId="1" xfId="0" applyBorder="1" applyAlignment="1">
      <alignment horizontal="left"/>
    </xf>
    <xf numFmtId="0" fontId="0" fillId="0" borderId="1" xfId="0" applyBorder="1" applyAlignment="1">
      <alignment horizontal="right"/>
    </xf>
    <xf numFmtId="3" fontId="0" fillId="0" borderId="1" xfId="0" applyNumberFormat="1" applyBorder="1" applyAlignment="1">
      <alignment wrapText="1"/>
    </xf>
    <xf numFmtId="3" fontId="0" fillId="0" borderId="2" xfId="0" applyNumberFormat="1" applyBorder="1" applyAlignment="1">
      <alignment wrapText="1"/>
    </xf>
    <xf numFmtId="164" fontId="0" fillId="0" borderId="2" xfId="0" applyNumberFormat="1" applyBorder="1"/>
    <xf numFmtId="0" fontId="0" fillId="6" borderId="3" xfId="0" applyFill="1" applyBorder="1"/>
    <xf numFmtId="3" fontId="0" fillId="6" borderId="3" xfId="0" applyNumberFormat="1" applyFill="1" applyBorder="1" applyAlignment="1">
      <alignment wrapText="1"/>
    </xf>
    <xf numFmtId="164" fontId="0" fillId="6" borderId="3" xfId="0" applyNumberFormat="1" applyFill="1" applyBorder="1"/>
    <xf numFmtId="0" fontId="0" fillId="0" borderId="1" xfId="0" applyBorder="1" applyAlignment="1">
      <alignment horizontal="left" vertical="center"/>
    </xf>
    <xf numFmtId="0" fontId="0" fillId="0" borderId="1" xfId="0" applyBorder="1" applyAlignment="1">
      <alignment horizontal="right" wrapText="1"/>
    </xf>
    <xf numFmtId="164" fontId="0" fillId="0" borderId="1" xfId="0" applyNumberFormat="1" applyBorder="1" applyAlignment="1">
      <alignment horizontal="right"/>
    </xf>
    <xf numFmtId="164" fontId="0" fillId="0" borderId="1" xfId="0" applyNumberFormat="1" applyBorder="1" applyAlignment="1">
      <alignment horizontal="right" wrapText="1"/>
    </xf>
    <xf numFmtId="3" fontId="0" fillId="0" borderId="1" xfId="0" applyNumberFormat="1" applyBorder="1" applyAlignment="1">
      <alignment horizontal="center" wrapText="1"/>
    </xf>
    <xf numFmtId="164" fontId="1" fillId="6" borderId="1" xfId="0" applyNumberFormat="1" applyFont="1" applyFill="1" applyBorder="1" applyAlignment="1">
      <alignment horizontal="right"/>
    </xf>
    <xf numFmtId="3" fontId="0" fillId="0" borderId="1" xfId="0" applyNumberFormat="1" applyBorder="1" applyAlignment="1">
      <alignment horizontal="right"/>
    </xf>
    <xf numFmtId="3" fontId="0" fillId="0" borderId="1" xfId="0" applyNumberFormat="1" applyBorder="1" applyAlignment="1">
      <alignment horizontal="right" wrapText="1"/>
    </xf>
    <xf numFmtId="0" fontId="1" fillId="6" borderId="1" xfId="0" applyFont="1" applyFill="1" applyBorder="1" applyAlignment="1">
      <alignment wrapText="1"/>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0" fillId="6" borderId="1" xfId="0" applyFill="1" applyBorder="1" applyAlignment="1">
      <alignment horizontal="center" wrapText="1"/>
    </xf>
    <xf numFmtId="0" fontId="0" fillId="2" borderId="0" xfId="0" applyFill="1"/>
    <xf numFmtId="0" fontId="0" fillId="18" borderId="0" xfId="0" applyFill="1"/>
    <xf numFmtId="0" fontId="0" fillId="0" borderId="0" xfId="0" applyFill="1" applyBorder="1" applyAlignment="1">
      <alignment horizontal="right"/>
    </xf>
    <xf numFmtId="164" fontId="0" fillId="0" borderId="8" xfId="0" applyNumberFormat="1" applyBorder="1" applyAlignment="1"/>
    <xf numFmtId="164" fontId="1" fillId="2" borderId="8" xfId="0" applyNumberFormat="1" applyFont="1" applyFill="1" applyBorder="1" applyAlignment="1"/>
    <xf numFmtId="0" fontId="0" fillId="3" borderId="0" xfId="0" applyFill="1" applyBorder="1" applyAlignment="1">
      <alignment vertical="center"/>
    </xf>
    <xf numFmtId="0" fontId="0" fillId="3" borderId="0" xfId="0" applyFill="1" applyBorder="1" applyAlignment="1">
      <alignment vertical="center" wrapText="1"/>
    </xf>
    <xf numFmtId="3" fontId="0" fillId="3" borderId="0" xfId="0" applyNumberFormat="1" applyFill="1" applyBorder="1" applyAlignment="1"/>
    <xf numFmtId="0" fontId="1" fillId="3" borderId="0" xfId="0" applyFont="1" applyFill="1" applyBorder="1" applyAlignment="1"/>
    <xf numFmtId="3" fontId="1" fillId="2" borderId="1" xfId="0" applyNumberFormat="1" applyFont="1" applyFill="1" applyBorder="1" applyAlignment="1"/>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0" fillId="6" borderId="8" xfId="0" applyFill="1" applyBorder="1" applyAlignment="1">
      <alignment horizontal="center" vertical="center" wrapText="1"/>
    </xf>
    <xf numFmtId="0" fontId="0" fillId="6" borderId="7" xfId="0" applyFill="1" applyBorder="1" applyAlignment="1">
      <alignment horizontal="center" vertical="center" wrapText="1"/>
    </xf>
    <xf numFmtId="0" fontId="0" fillId="5" borderId="1" xfId="0" applyFill="1" applyBorder="1" applyAlignment="1">
      <alignment wrapText="1"/>
    </xf>
    <xf numFmtId="0" fontId="0" fillId="5" borderId="9" xfId="0" applyFill="1" applyBorder="1"/>
    <xf numFmtId="0" fontId="0" fillId="5" borderId="10" xfId="0" applyFill="1" applyBorder="1" applyAlignment="1">
      <alignment horizontal="center" wrapText="1"/>
    </xf>
    <xf numFmtId="0" fontId="0" fillId="5" borderId="1" xfId="0" applyFill="1" applyBorder="1" applyAlignment="1">
      <alignment horizontal="center" wrapText="1"/>
    </xf>
    <xf numFmtId="0" fontId="1" fillId="5" borderId="1" xfId="0" applyFont="1" applyFill="1" applyBorder="1"/>
    <xf numFmtId="164" fontId="0" fillId="5" borderId="1" xfId="0" applyNumberFormat="1" applyFill="1" applyBorder="1"/>
    <xf numFmtId="166" fontId="0" fillId="5" borderId="1" xfId="0" applyNumberFormat="1" applyFill="1" applyBorder="1"/>
    <xf numFmtId="0" fontId="0" fillId="6" borderId="1" xfId="0" applyFill="1" applyBorder="1" applyAlignment="1">
      <alignment wrapText="1"/>
    </xf>
    <xf numFmtId="3" fontId="1" fillId="0" borderId="0" xfId="0" applyNumberFormat="1" applyFont="1"/>
    <xf numFmtId="0" fontId="0" fillId="6" borderId="1" xfId="0" applyFill="1" applyBorder="1" applyAlignment="1">
      <alignment horizontal="center" vertical="center" wrapText="1"/>
    </xf>
    <xf numFmtId="0" fontId="0" fillId="6" borderId="10" xfId="0" applyFill="1" applyBorder="1" applyAlignment="1">
      <alignment horizontal="center" vertical="center" wrapText="1"/>
    </xf>
    <xf numFmtId="0" fontId="0" fillId="19" borderId="1" xfId="0" applyFill="1" applyBorder="1"/>
    <xf numFmtId="0" fontId="0" fillId="20" borderId="1" xfId="0" applyFill="1" applyBorder="1"/>
    <xf numFmtId="0" fontId="0" fillId="20" borderId="10" xfId="0" applyFill="1" applyBorder="1"/>
    <xf numFmtId="0" fontId="0" fillId="21" borderId="1" xfId="0" applyFill="1" applyBorder="1"/>
    <xf numFmtId="0" fontId="0" fillId="21" borderId="10" xfId="0" applyFill="1" applyBorder="1"/>
    <xf numFmtId="0" fontId="0" fillId="14" borderId="10" xfId="0" applyFill="1" applyBorder="1"/>
    <xf numFmtId="0" fontId="0" fillId="13" borderId="10" xfId="0" applyFill="1" applyBorder="1"/>
    <xf numFmtId="0" fontId="0" fillId="22" borderId="1" xfId="0" applyFill="1" applyBorder="1"/>
    <xf numFmtId="0" fontId="0" fillId="22" borderId="10" xfId="0" applyFill="1" applyBorder="1"/>
    <xf numFmtId="0" fontId="0" fillId="23" borderId="1" xfId="0" applyFill="1" applyBorder="1"/>
    <xf numFmtId="0" fontId="0" fillId="24" borderId="10" xfId="0" applyFill="1" applyBorder="1"/>
    <xf numFmtId="0" fontId="0" fillId="25" borderId="1" xfId="0" applyFill="1" applyBorder="1"/>
    <xf numFmtId="0" fontId="0" fillId="25" borderId="10" xfId="0" applyFill="1" applyBorder="1"/>
    <xf numFmtId="0" fontId="0" fillId="26" borderId="1" xfId="0" applyFill="1" applyBorder="1"/>
    <xf numFmtId="0" fontId="0" fillId="26" borderId="10" xfId="0" applyFill="1" applyBorder="1"/>
    <xf numFmtId="0" fontId="0" fillId="27" borderId="1" xfId="0" applyFill="1" applyBorder="1"/>
    <xf numFmtId="0" fontId="0" fillId="27" borderId="10" xfId="0" applyFill="1" applyBorder="1"/>
    <xf numFmtId="0" fontId="0" fillId="6" borderId="1" xfId="0" applyFill="1" applyBorder="1" applyAlignment="1">
      <alignment horizontal="center" vertical="center" wrapText="1"/>
    </xf>
    <xf numFmtId="0" fontId="0" fillId="0" borderId="1" xfId="0" applyBorder="1" applyAlignment="1">
      <alignment horizontal="right"/>
    </xf>
    <xf numFmtId="0" fontId="3" fillId="3" borderId="6" xfId="0" applyFont="1" applyFill="1" applyBorder="1"/>
    <xf numFmtId="3" fontId="3" fillId="3" borderId="6" xfId="0" applyNumberFormat="1" applyFont="1" applyFill="1" applyBorder="1" applyAlignment="1">
      <alignment wrapText="1"/>
    </xf>
    <xf numFmtId="0" fontId="0" fillId="0" borderId="6" xfId="0" applyFill="1" applyBorder="1"/>
    <xf numFmtId="0" fontId="0" fillId="0" borderId="3" xfId="0" applyFill="1" applyBorder="1"/>
    <xf numFmtId="16" fontId="0" fillId="0" borderId="1" xfId="0" applyNumberFormat="1" applyBorder="1" applyAlignment="1">
      <alignment horizontal="right"/>
    </xf>
    <xf numFmtId="164" fontId="0" fillId="0" borderId="1" xfId="0" applyNumberFormat="1" applyFill="1" applyBorder="1"/>
    <xf numFmtId="0" fontId="0" fillId="0" borderId="9" xfId="0" applyFill="1" applyBorder="1"/>
    <xf numFmtId="164" fontId="0" fillId="0" borderId="10" xfId="0" applyNumberFormat="1" applyFill="1" applyBorder="1"/>
    <xf numFmtId="164" fontId="0" fillId="3" borderId="9" xfId="0" applyNumberFormat="1" applyFill="1" applyBorder="1"/>
    <xf numFmtId="3" fontId="0" fillId="3" borderId="10" xfId="0" applyNumberFormat="1" applyFill="1" applyBorder="1"/>
    <xf numFmtId="164" fontId="0" fillId="3" borderId="1" xfId="0" applyNumberFormat="1" applyFill="1" applyBorder="1" applyAlignment="1">
      <alignment horizontal="right" wrapText="1"/>
    </xf>
    <xf numFmtId="164" fontId="0" fillId="3" borderId="9" xfId="0" applyNumberFormat="1" applyFill="1" applyBorder="1" applyAlignment="1">
      <alignment wrapText="1"/>
    </xf>
    <xf numFmtId="3" fontId="0" fillId="3" borderId="10" xfId="0" applyNumberFormat="1" applyFill="1" applyBorder="1" applyAlignment="1">
      <alignment wrapText="1"/>
    </xf>
    <xf numFmtId="0" fontId="0" fillId="3" borderId="9" xfId="0" applyFill="1" applyBorder="1"/>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0" fillId="0" borderId="1" xfId="0" applyBorder="1" applyAlignment="1">
      <alignment horizontal="right"/>
    </xf>
    <xf numFmtId="164" fontId="0" fillId="0" borderId="1" xfId="0" applyNumberFormat="1" applyBorder="1" applyAlignment="1">
      <alignment wrapText="1"/>
    </xf>
    <xf numFmtId="164" fontId="1" fillId="6" borderId="1" xfId="0" applyNumberFormat="1" applyFont="1" applyFill="1" applyBorder="1" applyAlignment="1">
      <alignment wrapText="1"/>
    </xf>
    <xf numFmtId="0" fontId="0" fillId="0" borderId="1" xfId="0" applyBorder="1" applyAlignment="1">
      <alignment horizontal="left"/>
    </xf>
    <xf numFmtId="0" fontId="0" fillId="6" borderId="1" xfId="0" applyFill="1" applyBorder="1" applyAlignment="1">
      <alignment horizontal="center" vertical="center" wrapText="1"/>
    </xf>
    <xf numFmtId="0" fontId="0" fillId="0" borderId="26" xfId="0" applyBorder="1" applyAlignment="1">
      <alignment horizontal="left" wrapText="1"/>
    </xf>
    <xf numFmtId="0" fontId="0" fillId="9" borderId="1" xfId="0" applyFill="1" applyBorder="1"/>
    <xf numFmtId="164" fontId="0" fillId="9" borderId="1" xfId="0" applyNumberFormat="1" applyFill="1" applyBorder="1"/>
    <xf numFmtId="1" fontId="0" fillId="3" borderId="1" xfId="0" applyNumberFormat="1" applyFill="1" applyBorder="1" applyAlignment="1">
      <alignment horizontal="right"/>
    </xf>
    <xf numFmtId="0" fontId="0" fillId="3" borderId="1" xfId="0" applyFill="1" applyBorder="1" applyAlignment="1">
      <alignment horizontal="right"/>
    </xf>
    <xf numFmtId="166" fontId="0" fillId="0" borderId="1" xfId="0" applyNumberFormat="1" applyFill="1" applyBorder="1"/>
    <xf numFmtId="0" fontId="0" fillId="0" borderId="6" xfId="0" applyFill="1" applyBorder="1" applyAlignment="1"/>
    <xf numFmtId="3" fontId="0" fillId="3" borderId="6" xfId="0" applyNumberFormat="1" applyFill="1" applyBorder="1"/>
    <xf numFmtId="0" fontId="0" fillId="0" borderId="31" xfId="0" applyBorder="1" applyAlignment="1">
      <alignment horizontal="left"/>
    </xf>
    <xf numFmtId="0" fontId="0" fillId="0" borderId="31" xfId="0" applyFill="1" applyBorder="1"/>
    <xf numFmtId="0" fontId="0" fillId="0" borderId="31" xfId="0" applyFill="1" applyBorder="1" applyAlignment="1"/>
    <xf numFmtId="3" fontId="0" fillId="3" borderId="31" xfId="0" applyNumberFormat="1" applyFill="1" applyBorder="1"/>
    <xf numFmtId="0" fontId="0" fillId="6" borderId="5" xfId="0" applyFill="1" applyBorder="1" applyAlignment="1">
      <alignment horizontal="center" vertical="center"/>
    </xf>
    <xf numFmtId="3" fontId="0" fillId="6" borderId="5" xfId="0" applyNumberFormat="1" applyFill="1" applyBorder="1" applyAlignment="1">
      <alignment horizontal="center" vertical="center" wrapText="1"/>
    </xf>
    <xf numFmtId="0" fontId="0" fillId="0" borderId="4" xfId="0" applyFill="1" applyBorder="1" applyAlignment="1"/>
    <xf numFmtId="3" fontId="0" fillId="3" borderId="4" xfId="0" applyNumberFormat="1" applyFill="1" applyBorder="1"/>
    <xf numFmtId="0" fontId="0" fillId="6" borderId="1" xfId="0" applyFill="1" applyBorder="1" applyAlignment="1">
      <alignment horizontal="center" vertical="center"/>
    </xf>
    <xf numFmtId="0" fontId="0" fillId="15" borderId="1" xfId="0" applyFill="1" applyBorder="1" applyAlignment="1">
      <alignment horizontal="center"/>
    </xf>
    <xf numFmtId="0" fontId="0" fillId="19" borderId="12" xfId="0" applyFill="1" applyBorder="1"/>
    <xf numFmtId="3" fontId="0" fillId="0" borderId="35" xfId="0" applyNumberFormat="1" applyBorder="1"/>
    <xf numFmtId="4" fontId="0" fillId="0" borderId="4" xfId="0" applyNumberFormat="1" applyBorder="1"/>
    <xf numFmtId="164" fontId="0" fillId="0" borderId="4" xfId="0" applyNumberFormat="1" applyBorder="1"/>
    <xf numFmtId="4" fontId="0" fillId="0" borderId="6" xfId="0" applyNumberFormat="1" applyFill="1" applyBorder="1"/>
    <xf numFmtId="0" fontId="0" fillId="3" borderId="1" xfId="0" applyFill="1" applyBorder="1" applyAlignment="1"/>
    <xf numFmtId="0" fontId="0" fillId="3" borderId="4" xfId="0" applyFill="1" applyBorder="1" applyAlignment="1"/>
    <xf numFmtId="0" fontId="0" fillId="3" borderId="5" xfId="0" applyFill="1" applyBorder="1" applyAlignment="1"/>
    <xf numFmtId="2" fontId="0" fillId="0" borderId="0" xfId="0" applyNumberFormat="1"/>
    <xf numFmtId="4" fontId="0" fillId="0" borderId="0" xfId="0" applyNumberFormat="1"/>
    <xf numFmtId="10" fontId="0" fillId="0" borderId="1" xfId="0" applyNumberFormat="1" applyBorder="1"/>
    <xf numFmtId="164" fontId="0" fillId="0" borderId="6" xfId="0" applyNumberFormat="1" applyFill="1" applyBorder="1"/>
    <xf numFmtId="167" fontId="0" fillId="0" borderId="1" xfId="0" applyNumberFormat="1" applyBorder="1"/>
    <xf numFmtId="0" fontId="0" fillId="14" borderId="19" xfId="0" applyFill="1" applyBorder="1"/>
    <xf numFmtId="3" fontId="0" fillId="14" borderId="1" xfId="0" applyNumberFormat="1" applyFont="1" applyFill="1" applyBorder="1"/>
    <xf numFmtId="3" fontId="0" fillId="14" borderId="36" xfId="0" applyNumberFormat="1" applyFont="1" applyFill="1" applyBorder="1"/>
    <xf numFmtId="0" fontId="0" fillId="14" borderId="22" xfId="0" applyFill="1" applyBorder="1"/>
    <xf numFmtId="3" fontId="0" fillId="20" borderId="1" xfId="0" applyNumberFormat="1" applyFont="1" applyFill="1" applyBorder="1"/>
    <xf numFmtId="3" fontId="0" fillId="21" borderId="1" xfId="0" applyNumberFormat="1" applyFont="1" applyFill="1" applyBorder="1"/>
    <xf numFmtId="3" fontId="0" fillId="27" borderId="1" xfId="0" applyNumberFormat="1" applyFont="1" applyFill="1" applyBorder="1"/>
    <xf numFmtId="3" fontId="0" fillId="13" borderId="1" xfId="0" applyNumberFormat="1" applyFont="1" applyFill="1" applyBorder="1"/>
    <xf numFmtId="3" fontId="0" fillId="13" borderId="36" xfId="0" applyNumberFormat="1" applyFill="1" applyBorder="1"/>
    <xf numFmtId="0" fontId="0" fillId="13" borderId="22" xfId="0" applyFill="1" applyBorder="1"/>
    <xf numFmtId="3" fontId="0" fillId="19" borderId="1" xfId="0" applyNumberFormat="1" applyFill="1" applyBorder="1"/>
    <xf numFmtId="3" fontId="0" fillId="23" borderId="1" xfId="0" applyNumberFormat="1" applyFont="1" applyFill="1" applyBorder="1"/>
    <xf numFmtId="3" fontId="0" fillId="22" borderId="1" xfId="0" applyNumberFormat="1" applyFont="1" applyFill="1" applyBorder="1"/>
    <xf numFmtId="3" fontId="0" fillId="26" borderId="1" xfId="0" applyNumberFormat="1" applyFont="1" applyFill="1" applyBorder="1"/>
    <xf numFmtId="3" fontId="0" fillId="25" borderId="1" xfId="0" applyNumberFormat="1" applyFont="1" applyFill="1" applyBorder="1"/>
    <xf numFmtId="0" fontId="0" fillId="28" borderId="1" xfId="0" applyFill="1" applyBorder="1" applyAlignment="1">
      <alignment horizontal="center" vertical="center" wrapText="1"/>
    </xf>
    <xf numFmtId="0" fontId="0" fillId="28" borderId="1" xfId="0" applyFill="1" applyBorder="1" applyAlignment="1">
      <alignment horizontal="center" wrapText="1"/>
    </xf>
    <xf numFmtId="0" fontId="6" fillId="0" borderId="1" xfId="0" applyFont="1" applyBorder="1"/>
    <xf numFmtId="3" fontId="0" fillId="0" borderId="4" xfId="0" applyNumberFormat="1" applyFill="1" applyBorder="1"/>
    <xf numFmtId="0" fontId="0" fillId="9" borderId="1" xfId="0" applyFill="1" applyBorder="1" applyAlignment="1">
      <alignment horizontal="right"/>
    </xf>
    <xf numFmtId="3" fontId="0" fillId="9" borderId="1" xfId="0" applyNumberFormat="1" applyFill="1" applyBorder="1"/>
    <xf numFmtId="0" fontId="0" fillId="3" borderId="6" xfId="0" applyFill="1" applyBorder="1"/>
    <xf numFmtId="164" fontId="0" fillId="3" borderId="6" xfId="0" applyNumberFormat="1" applyFill="1" applyBorder="1"/>
    <xf numFmtId="0" fontId="0" fillId="3" borderId="12" xfId="0" applyFill="1" applyBorder="1"/>
    <xf numFmtId="164" fontId="0" fillId="3" borderId="12" xfId="0" applyNumberFormat="1" applyFill="1" applyBorder="1"/>
    <xf numFmtId="3" fontId="0" fillId="3" borderId="12" xfId="0" applyNumberFormat="1" applyFill="1" applyBorder="1"/>
    <xf numFmtId="164" fontId="0" fillId="3" borderId="10" xfId="0" applyNumberFormat="1" applyFill="1" applyBorder="1"/>
    <xf numFmtId="0" fontId="1" fillId="0" borderId="0" xfId="0" applyFont="1" applyAlignment="1">
      <alignment wrapText="1"/>
    </xf>
    <xf numFmtId="0" fontId="0" fillId="0" borderId="0" xfId="0" quotePrefix="1" applyAlignment="1">
      <alignment wrapText="1"/>
    </xf>
    <xf numFmtId="0" fontId="9" fillId="0" borderId="0" xfId="0" applyFont="1"/>
    <xf numFmtId="0" fontId="10" fillId="0" borderId="0" xfId="0" applyFont="1"/>
    <xf numFmtId="0" fontId="0" fillId="5" borderId="2" xfId="0" applyFill="1" applyBorder="1"/>
    <xf numFmtId="0" fontId="1" fillId="5" borderId="1" xfId="0" applyFont="1" applyFill="1" applyBorder="1" applyAlignment="1">
      <alignment horizontal="right"/>
    </xf>
    <xf numFmtId="0" fontId="0" fillId="5" borderId="9" xfId="0" applyFill="1" applyBorder="1" applyAlignment="1">
      <alignment wrapText="1"/>
    </xf>
    <xf numFmtId="0" fontId="0" fillId="5" borderId="10" xfId="0" applyFill="1" applyBorder="1" applyAlignment="1">
      <alignment wrapText="1"/>
    </xf>
    <xf numFmtId="0" fontId="1" fillId="0" borderId="0" xfId="0" applyFont="1" applyAlignment="1">
      <alignment horizontal="center" wrapText="1"/>
    </xf>
    <xf numFmtId="0" fontId="0" fillId="0" borderId="1" xfId="0" applyBorder="1" applyAlignment="1">
      <alignment horizontal="left" vertical="top" wrapText="1"/>
    </xf>
    <xf numFmtId="0" fontId="1" fillId="0" borderId="0" xfId="0" applyFont="1" applyAlignment="1">
      <alignment horizontal="left" wrapText="1"/>
    </xf>
    <xf numFmtId="0" fontId="0" fillId="0" borderId="1" xfId="0" applyBorder="1" applyAlignment="1">
      <alignment horizontal="left" vertical="top"/>
    </xf>
    <xf numFmtId="0" fontId="0" fillId="2" borderId="1" xfId="0" applyFill="1" applyBorder="1" applyAlignment="1">
      <alignment horizontal="center" vertical="center"/>
    </xf>
    <xf numFmtId="0" fontId="1" fillId="0" borderId="0" xfId="0" applyFont="1" applyAlignment="1">
      <alignment horizontal="left"/>
    </xf>
    <xf numFmtId="0" fontId="0" fillId="2" borderId="1" xfId="0" applyFill="1" applyBorder="1" applyAlignment="1">
      <alignment horizontal="center"/>
    </xf>
    <xf numFmtId="0" fontId="0" fillId="2" borderId="1" xfId="0" applyFill="1" applyBorder="1" applyAlignment="1">
      <alignment horizontal="center" wrapText="1"/>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2" borderId="1" xfId="0" applyFill="1" applyBorder="1" applyAlignment="1">
      <alignment horizontal="center" vertical="center" wrapText="1"/>
    </xf>
    <xf numFmtId="0" fontId="1" fillId="0" borderId="0" xfId="0" applyFont="1" applyBorder="1" applyAlignment="1">
      <alignment horizontal="center" wrapText="1"/>
    </xf>
    <xf numFmtId="0" fontId="0" fillId="5" borderId="1" xfId="0" applyFill="1" applyBorder="1" applyAlignment="1">
      <alignment horizontal="center"/>
    </xf>
    <xf numFmtId="0" fontId="1" fillId="0" borderId="0" xfId="0" applyFont="1" applyFill="1" applyBorder="1" applyAlignment="1">
      <alignment horizontal="left" wrapText="1"/>
    </xf>
    <xf numFmtId="0" fontId="0" fillId="0" borderId="1" xfId="0" applyBorder="1" applyAlignment="1">
      <alignment horizontal="left"/>
    </xf>
    <xf numFmtId="0" fontId="0" fillId="0" borderId="1" xfId="0" applyBorder="1" applyAlignment="1">
      <alignment horizontal="left" wrapText="1"/>
    </xf>
    <xf numFmtId="0" fontId="0" fillId="5" borderId="8" xfId="0" applyFill="1" applyBorder="1" applyAlignment="1">
      <alignment horizontal="center"/>
    </xf>
    <xf numFmtId="0" fontId="0" fillId="5" borderId="10" xfId="0" applyFill="1" applyBorder="1" applyAlignment="1">
      <alignment horizontal="center"/>
    </xf>
    <xf numFmtId="0" fontId="0" fillId="5" borderId="1" xfId="0" applyFill="1" applyBorder="1" applyAlignment="1">
      <alignment horizontal="center" vertical="center" wrapText="1"/>
    </xf>
    <xf numFmtId="0" fontId="0" fillId="0" borderId="0" xfId="0" applyAlignment="1">
      <alignment horizontal="left" wrapText="1"/>
    </xf>
    <xf numFmtId="3" fontId="0" fillId="0" borderId="0" xfId="0" applyNumberFormat="1" applyAlignment="1">
      <alignment horizontal="left"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0" fillId="6" borderId="8" xfId="0" applyFill="1" applyBorder="1" applyAlignment="1">
      <alignment horizontal="center" vertical="center" wrapText="1"/>
    </xf>
    <xf numFmtId="0" fontId="0" fillId="6" borderId="7"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9" xfId="0" applyFill="1" applyBorder="1" applyAlignment="1">
      <alignment horizontal="center" vertical="center" wrapText="1"/>
    </xf>
    <xf numFmtId="0" fontId="0" fillId="6" borderId="7" xfId="0" applyFill="1" applyBorder="1" applyAlignment="1">
      <alignment horizontal="center" vertical="center"/>
    </xf>
    <xf numFmtId="0" fontId="0" fillId="6" borderId="10" xfId="0" applyFill="1" applyBorder="1" applyAlignment="1">
      <alignment horizontal="center" vertical="center"/>
    </xf>
    <xf numFmtId="0" fontId="0" fillId="6" borderId="9" xfId="0" applyFill="1" applyBorder="1" applyAlignment="1">
      <alignment horizontal="center" vertical="center"/>
    </xf>
    <xf numFmtId="0" fontId="0" fillId="6" borderId="23" xfId="0" applyFill="1" applyBorder="1" applyAlignment="1">
      <alignment horizontal="center" vertical="center"/>
    </xf>
    <xf numFmtId="0" fontId="0" fillId="6" borderId="12" xfId="0" applyFill="1" applyBorder="1" applyAlignment="1">
      <alignment horizontal="center" vertical="center"/>
    </xf>
    <xf numFmtId="0" fontId="0" fillId="6" borderId="8" xfId="0" applyFill="1" applyBorder="1" applyAlignment="1">
      <alignment horizontal="center" vertical="center"/>
    </xf>
    <xf numFmtId="0" fontId="9" fillId="0" borderId="0" xfId="0" applyFont="1" applyAlignment="1">
      <alignment horizontal="center" wrapText="1"/>
    </xf>
    <xf numFmtId="0" fontId="9" fillId="0" borderId="0" xfId="0" applyFont="1" applyFill="1" applyBorder="1" applyAlignment="1">
      <alignment horizontal="left" wrapText="1"/>
    </xf>
    <xf numFmtId="0" fontId="9" fillId="0" borderId="0" xfId="0" applyFont="1" applyAlignment="1">
      <alignment horizontal="left" wrapText="1"/>
    </xf>
    <xf numFmtId="0" fontId="1" fillId="6" borderId="1" xfId="0" applyFont="1" applyFill="1" applyBorder="1" applyAlignment="1">
      <alignment horizontal="left"/>
    </xf>
    <xf numFmtId="0" fontId="0" fillId="0" borderId="1" xfId="0" applyBorder="1" applyAlignment="1">
      <alignment horizontal="left" vertical="center" wrapText="1"/>
    </xf>
    <xf numFmtId="0" fontId="0" fillId="0" borderId="12" xfId="0" applyBorder="1" applyAlignment="1">
      <alignment horizontal="left" wrapText="1"/>
    </xf>
    <xf numFmtId="0" fontId="0" fillId="0" borderId="10" xfId="0" applyBorder="1" applyAlignment="1">
      <alignment horizontal="left" wrapText="1"/>
    </xf>
    <xf numFmtId="0" fontId="0" fillId="6" borderId="4" xfId="0" applyFill="1" applyBorder="1" applyAlignment="1">
      <alignment horizontal="center" vertical="center"/>
    </xf>
    <xf numFmtId="0" fontId="0" fillId="6" borderId="3" xfId="0" applyFill="1" applyBorder="1" applyAlignment="1">
      <alignment horizontal="center" vertical="center"/>
    </xf>
    <xf numFmtId="0" fontId="0" fillId="6" borderId="6" xfId="0" applyFill="1" applyBorder="1" applyAlignment="1">
      <alignment horizontal="center" vertical="center"/>
    </xf>
    <xf numFmtId="3" fontId="0" fillId="6" borderId="8" xfId="0" applyNumberFormat="1" applyFill="1" applyBorder="1" applyAlignment="1">
      <alignment horizontal="center" vertical="center"/>
    </xf>
    <xf numFmtId="3" fontId="0" fillId="6" borderId="12" xfId="0" applyNumberFormat="1" applyFill="1" applyBorder="1" applyAlignment="1">
      <alignment horizontal="center" vertical="center"/>
    </xf>
    <xf numFmtId="3" fontId="0" fillId="6" borderId="10" xfId="0" applyNumberFormat="1" applyFill="1" applyBorder="1" applyAlignment="1">
      <alignment horizontal="center" vertical="center"/>
    </xf>
    <xf numFmtId="0" fontId="0" fillId="0" borderId="26" xfId="0" applyBorder="1" applyAlignment="1">
      <alignment horizontal="left" wrapText="1"/>
    </xf>
    <xf numFmtId="0" fontId="0" fillId="0" borderId="6" xfId="0" applyBorder="1" applyAlignment="1">
      <alignment horizontal="left" wrapText="1"/>
    </xf>
    <xf numFmtId="0" fontId="0" fillId="0" borderId="5" xfId="0" applyBorder="1" applyAlignment="1">
      <alignment horizontal="left" wrapText="1"/>
    </xf>
    <xf numFmtId="0" fontId="0" fillId="0" borderId="3" xfId="0" applyBorder="1" applyAlignment="1">
      <alignment horizontal="left" wrapText="1"/>
    </xf>
    <xf numFmtId="0" fontId="0" fillId="0" borderId="32" xfId="0" applyBorder="1" applyAlignment="1">
      <alignment horizontal="left" wrapText="1"/>
    </xf>
    <xf numFmtId="0" fontId="0" fillId="0" borderId="33" xfId="0" applyBorder="1" applyAlignment="1">
      <alignment horizontal="left" wrapText="1"/>
    </xf>
    <xf numFmtId="0" fontId="0" fillId="0" borderId="32" xfId="0" applyBorder="1" applyAlignment="1">
      <alignment horizontal="left"/>
    </xf>
    <xf numFmtId="0" fontId="0" fillId="0" borderId="6" xfId="0" applyBorder="1" applyAlignment="1">
      <alignment horizontal="left"/>
    </xf>
    <xf numFmtId="0" fontId="0" fillId="0" borderId="34" xfId="0" applyBorder="1" applyAlignment="1">
      <alignment horizontal="left"/>
    </xf>
    <xf numFmtId="0" fontId="9" fillId="0" borderId="0" xfId="0" applyFont="1" applyFill="1" applyBorder="1" applyAlignment="1">
      <alignment horizontal="center" wrapText="1"/>
    </xf>
    <xf numFmtId="3" fontId="0" fillId="6" borderId="1" xfId="0" applyNumberFormat="1" applyFill="1" applyBorder="1" applyAlignment="1">
      <alignment horizontal="center" vertical="center"/>
    </xf>
    <xf numFmtId="0" fontId="1" fillId="6" borderId="3" xfId="0" applyFont="1" applyFill="1" applyBorder="1" applyAlignment="1">
      <alignment horizontal="center"/>
    </xf>
    <xf numFmtId="0" fontId="0" fillId="0" borderId="28" xfId="0" applyFill="1" applyBorder="1" applyAlignment="1">
      <alignment horizontal="right"/>
    </xf>
    <xf numFmtId="0" fontId="0" fillId="0" borderId="29" xfId="0" applyFill="1" applyBorder="1" applyAlignment="1">
      <alignment horizontal="right"/>
    </xf>
    <xf numFmtId="0" fontId="0" fillId="3" borderId="4" xfId="0" applyFill="1" applyBorder="1" applyAlignment="1"/>
    <xf numFmtId="0" fontId="0" fillId="3" borderId="3" xfId="0" applyFill="1" applyBorder="1" applyAlignment="1"/>
    <xf numFmtId="0" fontId="0" fillId="3" borderId="6" xfId="0" applyFill="1" applyBorder="1" applyAlignment="1"/>
    <xf numFmtId="0" fontId="0" fillId="0" borderId="3" xfId="0" applyBorder="1" applyAlignment="1">
      <alignment horizontal="left"/>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8" xfId="0" applyBorder="1" applyAlignment="1">
      <alignment horizontal="center"/>
    </xf>
    <xf numFmtId="0" fontId="0" fillId="0" borderId="12" xfId="0" applyBorder="1" applyAlignment="1">
      <alignment horizontal="center"/>
    </xf>
    <xf numFmtId="0" fontId="0" fillId="0" borderId="10" xfId="0" applyBorder="1" applyAlignment="1">
      <alignment horizontal="center"/>
    </xf>
    <xf numFmtId="0" fontId="1" fillId="0" borderId="3" xfId="0" applyFont="1" applyBorder="1" applyAlignment="1">
      <alignment horizontal="right"/>
    </xf>
    <xf numFmtId="0" fontId="0" fillId="15" borderId="1" xfId="0" applyFill="1" applyBorder="1" applyAlignment="1">
      <alignment horizontal="center"/>
    </xf>
    <xf numFmtId="0" fontId="0" fillId="15" borderId="8" xfId="0" applyFill="1" applyBorder="1" applyAlignment="1">
      <alignment horizontal="center"/>
    </xf>
    <xf numFmtId="0" fontId="0" fillId="15" borderId="7" xfId="0" applyFill="1" applyBorder="1" applyAlignment="1">
      <alignment horizontal="center"/>
    </xf>
    <xf numFmtId="0" fontId="0" fillId="17" borderId="1" xfId="0" applyFill="1" applyBorder="1" applyAlignment="1">
      <alignment horizontal="center" wrapText="1"/>
    </xf>
    <xf numFmtId="0" fontId="0" fillId="15" borderId="1" xfId="0" applyFill="1" applyBorder="1" applyAlignment="1">
      <alignment horizontal="center" wrapText="1"/>
    </xf>
    <xf numFmtId="0" fontId="0" fillId="0" borderId="1" xfId="0" applyBorder="1" applyAlignment="1">
      <alignment horizontal="center"/>
    </xf>
    <xf numFmtId="0" fontId="0" fillId="15" borderId="1" xfId="0" applyFill="1" applyBorder="1" applyAlignment="1">
      <alignment horizontal="center" vertical="center" wrapText="1"/>
    </xf>
    <xf numFmtId="0" fontId="0" fillId="15" borderId="8" xfId="0" applyFill="1" applyBorder="1" applyAlignment="1">
      <alignment horizontal="center" vertical="center" wrapText="1"/>
    </xf>
    <xf numFmtId="0" fontId="0" fillId="15" borderId="1" xfId="0" applyFill="1" applyBorder="1" applyAlignment="1">
      <alignment horizontal="center" vertical="center"/>
    </xf>
    <xf numFmtId="0" fontId="0" fillId="17" borderId="18" xfId="0" applyFill="1" applyBorder="1" applyAlignment="1">
      <alignment horizontal="center" wrapText="1"/>
    </xf>
    <xf numFmtId="0" fontId="0" fillId="17" borderId="12" xfId="0" applyFill="1" applyBorder="1" applyAlignment="1">
      <alignment horizontal="center" wrapText="1"/>
    </xf>
    <xf numFmtId="0" fontId="0" fillId="17" borderId="10" xfId="0" applyFill="1" applyBorder="1" applyAlignment="1">
      <alignment horizontal="center" wrapText="1"/>
    </xf>
    <xf numFmtId="0" fontId="0" fillId="15" borderId="12" xfId="0" applyFill="1" applyBorder="1" applyAlignment="1">
      <alignment horizontal="center"/>
    </xf>
    <xf numFmtId="0" fontId="0" fillId="15" borderId="10" xfId="0" applyFill="1" applyBorder="1" applyAlignment="1">
      <alignment horizontal="center"/>
    </xf>
    <xf numFmtId="0" fontId="0" fillId="5" borderId="12" xfId="0" applyFill="1" applyBorder="1" applyAlignment="1">
      <alignment horizontal="center"/>
    </xf>
    <xf numFmtId="0" fontId="0" fillId="15" borderId="7" xfId="0" applyFill="1" applyBorder="1" applyAlignment="1">
      <alignment horizontal="center" vertical="center"/>
    </xf>
    <xf numFmtId="0" fontId="0" fillId="0" borderId="3" xfId="0" applyBorder="1" applyAlignment="1">
      <alignment horizontal="right"/>
    </xf>
    <xf numFmtId="0" fontId="0" fillId="0" borderId="1" xfId="0" applyBorder="1" applyAlignment="1">
      <alignment horizontal="right"/>
    </xf>
    <xf numFmtId="0" fontId="0" fillId="0" borderId="1" xfId="0" applyFill="1" applyBorder="1" applyAlignment="1">
      <alignment horizontal="right"/>
    </xf>
    <xf numFmtId="0" fontId="1" fillId="0" borderId="4" xfId="0" applyFont="1" applyBorder="1" applyAlignment="1">
      <alignment horizontal="right"/>
    </xf>
    <xf numFmtId="0" fontId="1" fillId="0" borderId="0" xfId="0" applyFont="1" applyAlignment="1">
      <alignment horizontal="center"/>
    </xf>
    <xf numFmtId="0" fontId="0" fillId="3" borderId="1" xfId="0" applyFill="1" applyBorder="1" applyAlignment="1">
      <alignment horizontal="left" wrapText="1"/>
    </xf>
    <xf numFmtId="0" fontId="0" fillId="0" borderId="8" xfId="0" applyBorder="1" applyAlignment="1">
      <alignment horizontal="left" wrapText="1"/>
    </xf>
  </cellXfs>
  <cellStyles count="2">
    <cellStyle name="Normal 2" xfId="1" xr:uid="{00000000-0005-0000-0000-000001000000}"/>
    <cellStyle name="Parasts" xfId="0" builtinId="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1A069"/>
      <color rgb="FFFF7C80"/>
      <color rgb="FFB482DA"/>
      <color rgb="FFB685DB"/>
      <color rgb="FFA162D0"/>
      <color rgb="FFCB5D13"/>
      <color rgb="FF94440E"/>
      <color rgb="FFEC7C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II_Dinamika_sps_skaits_kopā_sum!$A$17</c:f>
              <c:strCache>
                <c:ptCount val="1"/>
                <c:pt idx="0">
                  <c:v>Kopā sabiedrisko pakalpojumu sniedzēji (skaits)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II_Dinamika_sps_skaits_kopā_sum!$B$16:$H$16</c:f>
              <c:strCache>
                <c:ptCount val="7"/>
                <c:pt idx="0">
                  <c:v>2010.gads</c:v>
                </c:pt>
                <c:pt idx="1">
                  <c:v>2011.gads</c:v>
                </c:pt>
                <c:pt idx="2">
                  <c:v>2012.gads</c:v>
                </c:pt>
                <c:pt idx="3">
                  <c:v>2013.gads</c:v>
                </c:pt>
                <c:pt idx="4">
                  <c:v>2014.gads</c:v>
                </c:pt>
                <c:pt idx="5">
                  <c:v>2015.gads</c:v>
                </c:pt>
                <c:pt idx="6">
                  <c:v>2016.gads</c:v>
                </c:pt>
              </c:strCache>
            </c:strRef>
          </c:cat>
          <c:val>
            <c:numRef>
              <c:f>II_Dinamika_sps_skaits_kopā_sum!$B$17:$H$17</c:f>
              <c:numCache>
                <c:formatCode>General</c:formatCode>
                <c:ptCount val="7"/>
                <c:pt idx="0">
                  <c:v>247</c:v>
                </c:pt>
                <c:pt idx="1">
                  <c:v>228</c:v>
                </c:pt>
                <c:pt idx="2">
                  <c:v>240</c:v>
                </c:pt>
                <c:pt idx="3">
                  <c:v>238</c:v>
                </c:pt>
                <c:pt idx="4">
                  <c:v>221</c:v>
                </c:pt>
                <c:pt idx="5">
                  <c:v>235</c:v>
                </c:pt>
                <c:pt idx="6">
                  <c:v>228</c:v>
                </c:pt>
              </c:numCache>
            </c:numRef>
          </c:val>
          <c:extLst>
            <c:ext xmlns:c16="http://schemas.microsoft.com/office/drawing/2014/chart" uri="{C3380CC4-5D6E-409C-BE32-E72D297353CC}">
              <c16:uniqueId val="{00000000-6315-4F88-9772-FB92EE9A7687}"/>
            </c:ext>
          </c:extLst>
        </c:ser>
        <c:dLbls>
          <c:showLegendKey val="0"/>
          <c:showVal val="0"/>
          <c:showCatName val="0"/>
          <c:showSerName val="0"/>
          <c:showPercent val="0"/>
          <c:showBubbleSize val="0"/>
        </c:dLbls>
        <c:gapWidth val="150"/>
        <c:axId val="470110760"/>
        <c:axId val="470109448"/>
      </c:barChart>
      <c:lineChart>
        <c:grouping val="standard"/>
        <c:varyColors val="0"/>
        <c:ser>
          <c:idx val="1"/>
          <c:order val="1"/>
          <c:tx>
            <c:strRef>
              <c:f>II_Dinamika_sps_skaits_kopā_sum!$A$18</c:f>
              <c:strCache>
                <c:ptCount val="1"/>
                <c:pt idx="0">
                  <c:v>Kopā noslēgto līgumu summa (milj.EUR)</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trendline>
            <c:spPr>
              <a:ln w="19050" cap="rnd">
                <a:solidFill>
                  <a:schemeClr val="accent2"/>
                </a:solidFill>
                <a:prstDash val="sysDot"/>
              </a:ln>
              <a:effectLst/>
            </c:spPr>
            <c:trendlineType val="linear"/>
            <c:dispRSqr val="0"/>
            <c:dispEq val="0"/>
          </c:trendline>
          <c:cat>
            <c:strRef>
              <c:f>II_Dinamika_sps_skaits_kopā_sum!$B$16:$H$16</c:f>
              <c:strCache>
                <c:ptCount val="7"/>
                <c:pt idx="0">
                  <c:v>2010.gads</c:v>
                </c:pt>
                <c:pt idx="1">
                  <c:v>2011.gads</c:v>
                </c:pt>
                <c:pt idx="2">
                  <c:v>2012.gads</c:v>
                </c:pt>
                <c:pt idx="3">
                  <c:v>2013.gads</c:v>
                </c:pt>
                <c:pt idx="4">
                  <c:v>2014.gads</c:v>
                </c:pt>
                <c:pt idx="5">
                  <c:v>2015.gads</c:v>
                </c:pt>
                <c:pt idx="6">
                  <c:v>2016.gads</c:v>
                </c:pt>
              </c:strCache>
            </c:strRef>
          </c:cat>
          <c:val>
            <c:numRef>
              <c:f>II_Dinamika_sps_skaits_kopā_sum!$B$18:$H$18</c:f>
              <c:numCache>
                <c:formatCode>General</c:formatCode>
                <c:ptCount val="7"/>
                <c:pt idx="0">
                  <c:v>1337.8</c:v>
                </c:pt>
                <c:pt idx="1">
                  <c:v>867.2</c:v>
                </c:pt>
                <c:pt idx="2">
                  <c:v>1496.6</c:v>
                </c:pt>
                <c:pt idx="3">
                  <c:v>1305.0999999999999</c:v>
                </c:pt>
                <c:pt idx="4">
                  <c:v>1632.9</c:v>
                </c:pt>
                <c:pt idx="5">
                  <c:v>1296.7</c:v>
                </c:pt>
                <c:pt idx="6">
                  <c:v>1529.6</c:v>
                </c:pt>
              </c:numCache>
            </c:numRef>
          </c:val>
          <c:smooth val="0"/>
          <c:extLst>
            <c:ext xmlns:c16="http://schemas.microsoft.com/office/drawing/2014/chart" uri="{C3380CC4-5D6E-409C-BE32-E72D297353CC}">
              <c16:uniqueId val="{00000001-6315-4F88-9772-FB92EE9A7687}"/>
            </c:ext>
          </c:extLst>
        </c:ser>
        <c:dLbls>
          <c:showLegendKey val="0"/>
          <c:showVal val="0"/>
          <c:showCatName val="0"/>
          <c:showSerName val="0"/>
          <c:showPercent val="0"/>
          <c:showBubbleSize val="0"/>
        </c:dLbls>
        <c:marker val="1"/>
        <c:smooth val="0"/>
        <c:axId val="470110760"/>
        <c:axId val="470109448"/>
      </c:lineChart>
      <c:catAx>
        <c:axId val="47011076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0109448"/>
        <c:crosses val="autoZero"/>
        <c:auto val="1"/>
        <c:lblAlgn val="ctr"/>
        <c:lblOffset val="100"/>
        <c:noMultiLvlLbl val="0"/>
      </c:catAx>
      <c:valAx>
        <c:axId val="470109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0110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II_Kopējā_dinamika!$A$199</c:f>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II_Kopējā_dinamika!$B$198:$H$198</c:f>
              <c:strCache>
                <c:ptCount val="7"/>
                <c:pt idx="0">
                  <c:v>2010.gads</c:v>
                </c:pt>
                <c:pt idx="1">
                  <c:v>2011.gads</c:v>
                </c:pt>
                <c:pt idx="2">
                  <c:v>2012.gads</c:v>
                </c:pt>
                <c:pt idx="3">
                  <c:v>2013.gads</c:v>
                </c:pt>
                <c:pt idx="4">
                  <c:v>2014.gads</c:v>
                </c:pt>
                <c:pt idx="5">
                  <c:v>2015.gads</c:v>
                </c:pt>
                <c:pt idx="6">
                  <c:v>2016.gads</c:v>
                </c:pt>
              </c:strCache>
            </c:strRef>
          </c:cat>
          <c:val>
            <c:numRef>
              <c:f>II_Kopējā_dinamika!$B$199:$H$199</c:f>
              <c:numCache>
                <c:formatCode>General</c:formatCode>
                <c:ptCount val="7"/>
              </c:numCache>
            </c:numRef>
          </c:val>
          <c:extLst>
            <c:ext xmlns:c16="http://schemas.microsoft.com/office/drawing/2014/chart" uri="{C3380CC4-5D6E-409C-BE32-E72D297353CC}">
              <c16:uniqueId val="{00000000-E894-4B42-8F67-85690C8624FD}"/>
            </c:ext>
          </c:extLst>
        </c:ser>
        <c:ser>
          <c:idx val="1"/>
          <c:order val="1"/>
          <c:tx>
            <c:strRef>
              <c:f>II_Kopējā_dinamika!$A$200</c:f>
              <c:strCache>
                <c:ptCount val="1"/>
                <c:pt idx="0">
                  <c:v>Siltumapgāde, gāze</c:v>
                </c:pt>
              </c:strCache>
            </c:strRef>
          </c:tx>
          <c:spPr>
            <a:solidFill>
              <a:schemeClr val="accent6">
                <a:lumMod val="40000"/>
                <a:lumOff val="60000"/>
              </a:schemeClr>
            </a:solidFill>
            <a:ln>
              <a:noFill/>
            </a:ln>
            <a:effectLst/>
          </c:spPr>
          <c:invertIfNegative val="0"/>
          <c:dLbls>
            <c:spPr>
              <a:solidFill>
                <a:schemeClr val="bg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II_Kopējā_dinamika!$B$198:$H$198</c:f>
              <c:strCache>
                <c:ptCount val="7"/>
                <c:pt idx="0">
                  <c:v>2010.gads</c:v>
                </c:pt>
                <c:pt idx="1">
                  <c:v>2011.gads</c:v>
                </c:pt>
                <c:pt idx="2">
                  <c:v>2012.gads</c:v>
                </c:pt>
                <c:pt idx="3">
                  <c:v>2013.gads</c:v>
                </c:pt>
                <c:pt idx="4">
                  <c:v>2014.gads</c:v>
                </c:pt>
                <c:pt idx="5">
                  <c:v>2015.gads</c:v>
                </c:pt>
                <c:pt idx="6">
                  <c:v>2016.gads</c:v>
                </c:pt>
              </c:strCache>
            </c:strRef>
          </c:cat>
          <c:val>
            <c:numRef>
              <c:f>II_Kopējā_dinamika!$B$200:$H$200</c:f>
              <c:numCache>
                <c:formatCode>0.0%</c:formatCode>
                <c:ptCount val="7"/>
                <c:pt idx="0">
                  <c:v>0.14000000000000001</c:v>
                </c:pt>
                <c:pt idx="1">
                  <c:v>0.317</c:v>
                </c:pt>
                <c:pt idx="2">
                  <c:v>0.126</c:v>
                </c:pt>
                <c:pt idx="3">
                  <c:v>0.113</c:v>
                </c:pt>
                <c:pt idx="4">
                  <c:v>6.4000000000000001E-2</c:v>
                </c:pt>
                <c:pt idx="5">
                  <c:v>9.8000000000000004E-2</c:v>
                </c:pt>
                <c:pt idx="6">
                  <c:v>5.5E-2</c:v>
                </c:pt>
              </c:numCache>
            </c:numRef>
          </c:val>
          <c:extLst>
            <c:ext xmlns:c16="http://schemas.microsoft.com/office/drawing/2014/chart" uri="{C3380CC4-5D6E-409C-BE32-E72D297353CC}">
              <c16:uniqueId val="{00000001-E894-4B42-8F67-85690C8624FD}"/>
            </c:ext>
          </c:extLst>
        </c:ser>
        <c:ser>
          <c:idx val="2"/>
          <c:order val="2"/>
          <c:tx>
            <c:strRef>
              <c:f>II_Kopējā_dinamika!$A$201</c:f>
              <c:strCache>
                <c:ptCount val="1"/>
                <c:pt idx="0">
                  <c:v>Elektroenerģija</c:v>
                </c:pt>
              </c:strCache>
            </c:strRef>
          </c:tx>
          <c:spPr>
            <a:solidFill>
              <a:schemeClr val="accent5">
                <a:lumMod val="40000"/>
                <a:lumOff val="60000"/>
              </a:schemeClr>
            </a:solidFill>
            <a:ln>
              <a:noFill/>
            </a:ln>
            <a:effectLst/>
          </c:spPr>
          <c:invertIfNegative val="0"/>
          <c:dLbls>
            <c:spPr>
              <a:solidFill>
                <a:schemeClr val="bg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II_Kopējā_dinamika!$B$198:$H$198</c:f>
              <c:strCache>
                <c:ptCount val="7"/>
                <c:pt idx="0">
                  <c:v>2010.gads</c:v>
                </c:pt>
                <c:pt idx="1">
                  <c:v>2011.gads</c:v>
                </c:pt>
                <c:pt idx="2">
                  <c:v>2012.gads</c:v>
                </c:pt>
                <c:pt idx="3">
                  <c:v>2013.gads</c:v>
                </c:pt>
                <c:pt idx="4">
                  <c:v>2014.gads</c:v>
                </c:pt>
                <c:pt idx="5">
                  <c:v>2015.gads</c:v>
                </c:pt>
                <c:pt idx="6">
                  <c:v>2016.gads</c:v>
                </c:pt>
              </c:strCache>
            </c:strRef>
          </c:cat>
          <c:val>
            <c:numRef>
              <c:f>II_Kopējā_dinamika!$B$201:$H$201</c:f>
              <c:numCache>
                <c:formatCode>0.0%</c:formatCode>
                <c:ptCount val="7"/>
                <c:pt idx="0">
                  <c:v>0.56599999999999995</c:v>
                </c:pt>
                <c:pt idx="1">
                  <c:v>0.217</c:v>
                </c:pt>
                <c:pt idx="2">
                  <c:v>0.17</c:v>
                </c:pt>
                <c:pt idx="3">
                  <c:v>0.193</c:v>
                </c:pt>
                <c:pt idx="4">
                  <c:v>0.48799999999999999</c:v>
                </c:pt>
                <c:pt idx="5">
                  <c:v>0.501</c:v>
                </c:pt>
                <c:pt idx="6">
                  <c:v>0.52100000000000002</c:v>
                </c:pt>
              </c:numCache>
            </c:numRef>
          </c:val>
          <c:extLst>
            <c:ext xmlns:c16="http://schemas.microsoft.com/office/drawing/2014/chart" uri="{C3380CC4-5D6E-409C-BE32-E72D297353CC}">
              <c16:uniqueId val="{00000002-E894-4B42-8F67-85690C8624FD}"/>
            </c:ext>
          </c:extLst>
        </c:ser>
        <c:ser>
          <c:idx val="3"/>
          <c:order val="3"/>
          <c:tx>
            <c:strRef>
              <c:f>II_Kopējā_dinamika!$A$202</c:f>
              <c:strCache>
                <c:ptCount val="1"/>
                <c:pt idx="0">
                  <c:v>Ūdensapgāde</c:v>
                </c:pt>
              </c:strCache>
            </c:strRef>
          </c:tx>
          <c:spPr>
            <a:solidFill>
              <a:schemeClr val="accent4">
                <a:lumMod val="40000"/>
                <a:lumOff val="60000"/>
              </a:schemeClr>
            </a:solidFill>
            <a:ln>
              <a:noFill/>
            </a:ln>
            <a:effectLst/>
          </c:spPr>
          <c:invertIfNegative val="0"/>
          <c:dLbls>
            <c:spPr>
              <a:solidFill>
                <a:schemeClr val="bg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II_Kopējā_dinamika!$B$198:$H$198</c:f>
              <c:strCache>
                <c:ptCount val="7"/>
                <c:pt idx="0">
                  <c:v>2010.gads</c:v>
                </c:pt>
                <c:pt idx="1">
                  <c:v>2011.gads</c:v>
                </c:pt>
                <c:pt idx="2">
                  <c:v>2012.gads</c:v>
                </c:pt>
                <c:pt idx="3">
                  <c:v>2013.gads</c:v>
                </c:pt>
                <c:pt idx="4">
                  <c:v>2014.gads</c:v>
                </c:pt>
                <c:pt idx="5">
                  <c:v>2015.gads</c:v>
                </c:pt>
                <c:pt idx="6">
                  <c:v>2016.gads</c:v>
                </c:pt>
              </c:strCache>
            </c:strRef>
          </c:cat>
          <c:val>
            <c:numRef>
              <c:f>II_Kopējā_dinamika!$B$202:$H$202</c:f>
              <c:numCache>
                <c:formatCode>0.0%</c:formatCode>
                <c:ptCount val="7"/>
                <c:pt idx="0">
                  <c:v>4.2000000000000003E-2</c:v>
                </c:pt>
                <c:pt idx="1">
                  <c:v>7.0000000000000007E-2</c:v>
                </c:pt>
                <c:pt idx="2">
                  <c:v>0.06</c:v>
                </c:pt>
                <c:pt idx="3">
                  <c:v>9.0999999999999998E-2</c:v>
                </c:pt>
                <c:pt idx="4">
                  <c:v>8.1000000000000003E-2</c:v>
                </c:pt>
                <c:pt idx="5">
                  <c:v>8.5000000000000006E-2</c:v>
                </c:pt>
                <c:pt idx="6">
                  <c:v>4.7E-2</c:v>
                </c:pt>
              </c:numCache>
            </c:numRef>
          </c:val>
          <c:extLst>
            <c:ext xmlns:c16="http://schemas.microsoft.com/office/drawing/2014/chart" uri="{C3380CC4-5D6E-409C-BE32-E72D297353CC}">
              <c16:uniqueId val="{00000003-E894-4B42-8F67-85690C8624FD}"/>
            </c:ext>
          </c:extLst>
        </c:ser>
        <c:ser>
          <c:idx val="4"/>
          <c:order val="4"/>
          <c:tx>
            <c:strRef>
              <c:f>II_Kopējā_dinamika!$A$203</c:f>
              <c:strCache>
                <c:ptCount val="1"/>
                <c:pt idx="0">
                  <c:v>Dzelzceļu pakalpojumi</c:v>
                </c:pt>
              </c:strCache>
            </c:strRef>
          </c:tx>
          <c:spPr>
            <a:solidFill>
              <a:schemeClr val="accent3">
                <a:lumMod val="40000"/>
                <a:lumOff val="60000"/>
              </a:schemeClr>
            </a:solidFill>
            <a:ln>
              <a:noFill/>
            </a:ln>
            <a:effectLst/>
          </c:spPr>
          <c:invertIfNegative val="0"/>
          <c:dLbls>
            <c:spPr>
              <a:solidFill>
                <a:schemeClr val="bg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II_Kopējā_dinamika!$B$198:$H$198</c:f>
              <c:strCache>
                <c:ptCount val="7"/>
                <c:pt idx="0">
                  <c:v>2010.gads</c:v>
                </c:pt>
                <c:pt idx="1">
                  <c:v>2011.gads</c:v>
                </c:pt>
                <c:pt idx="2">
                  <c:v>2012.gads</c:v>
                </c:pt>
                <c:pt idx="3">
                  <c:v>2013.gads</c:v>
                </c:pt>
                <c:pt idx="4">
                  <c:v>2014.gads</c:v>
                </c:pt>
                <c:pt idx="5">
                  <c:v>2015.gads</c:v>
                </c:pt>
                <c:pt idx="6">
                  <c:v>2016.gads</c:v>
                </c:pt>
              </c:strCache>
            </c:strRef>
          </c:cat>
          <c:val>
            <c:numRef>
              <c:f>II_Kopējā_dinamika!$B$203:$H$203</c:f>
              <c:numCache>
                <c:formatCode>0.0%</c:formatCode>
                <c:ptCount val="7"/>
                <c:pt idx="0">
                  <c:v>0.14499999999999999</c:v>
                </c:pt>
                <c:pt idx="1">
                  <c:v>0.189</c:v>
                </c:pt>
                <c:pt idx="2">
                  <c:v>0.36899999999999999</c:v>
                </c:pt>
                <c:pt idx="3">
                  <c:v>0.16800000000000001</c:v>
                </c:pt>
                <c:pt idx="4">
                  <c:v>0.19500000000000001</c:v>
                </c:pt>
                <c:pt idx="5">
                  <c:v>9.0999999999999998E-2</c:v>
                </c:pt>
                <c:pt idx="6">
                  <c:v>8.3000000000000004E-2</c:v>
                </c:pt>
              </c:numCache>
            </c:numRef>
          </c:val>
          <c:extLst>
            <c:ext xmlns:c16="http://schemas.microsoft.com/office/drawing/2014/chart" uri="{C3380CC4-5D6E-409C-BE32-E72D297353CC}">
              <c16:uniqueId val="{00000004-E894-4B42-8F67-85690C8624FD}"/>
            </c:ext>
          </c:extLst>
        </c:ser>
        <c:ser>
          <c:idx val="5"/>
          <c:order val="5"/>
          <c:tx>
            <c:strRef>
              <c:f>II_Kopējā_dinamika!$A$204</c:f>
              <c:strCache>
                <c:ptCount val="1"/>
                <c:pt idx="0">
                  <c:v>Pasažieru pārvadājumi</c:v>
                </c:pt>
              </c:strCache>
            </c:strRef>
          </c:tx>
          <c:spPr>
            <a:solidFill>
              <a:schemeClr val="accent2">
                <a:lumMod val="40000"/>
                <a:lumOff val="60000"/>
              </a:schemeClr>
            </a:solidFill>
            <a:ln>
              <a:noFill/>
            </a:ln>
            <a:effectLst/>
          </c:spPr>
          <c:invertIfNegative val="0"/>
          <c:dLbls>
            <c:spPr>
              <a:solidFill>
                <a:schemeClr val="bg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II_Kopējā_dinamika!$B$198:$H$198</c:f>
              <c:strCache>
                <c:ptCount val="7"/>
                <c:pt idx="0">
                  <c:v>2010.gads</c:v>
                </c:pt>
                <c:pt idx="1">
                  <c:v>2011.gads</c:v>
                </c:pt>
                <c:pt idx="2">
                  <c:v>2012.gads</c:v>
                </c:pt>
                <c:pt idx="3">
                  <c:v>2013.gads</c:v>
                </c:pt>
                <c:pt idx="4">
                  <c:v>2014.gads</c:v>
                </c:pt>
                <c:pt idx="5">
                  <c:v>2015.gads</c:v>
                </c:pt>
                <c:pt idx="6">
                  <c:v>2016.gads</c:v>
                </c:pt>
              </c:strCache>
            </c:strRef>
          </c:cat>
          <c:val>
            <c:numRef>
              <c:f>II_Kopējā_dinamika!$B$204:$H$204</c:f>
              <c:numCache>
                <c:formatCode>0.0%</c:formatCode>
                <c:ptCount val="7"/>
                <c:pt idx="0">
                  <c:v>5.2999999999999999E-2</c:v>
                </c:pt>
                <c:pt idx="1">
                  <c:v>0.109</c:v>
                </c:pt>
                <c:pt idx="2">
                  <c:v>6.9000000000000006E-2</c:v>
                </c:pt>
                <c:pt idx="3">
                  <c:v>0.312</c:v>
                </c:pt>
                <c:pt idx="4">
                  <c:v>7.3999999999999996E-2</c:v>
                </c:pt>
                <c:pt idx="5">
                  <c:v>0.13600000000000001</c:v>
                </c:pt>
                <c:pt idx="6">
                  <c:v>0.246</c:v>
                </c:pt>
              </c:numCache>
            </c:numRef>
          </c:val>
          <c:extLst>
            <c:ext xmlns:c16="http://schemas.microsoft.com/office/drawing/2014/chart" uri="{C3380CC4-5D6E-409C-BE32-E72D297353CC}">
              <c16:uniqueId val="{00000005-E894-4B42-8F67-85690C8624FD}"/>
            </c:ext>
          </c:extLst>
        </c:ser>
        <c:ser>
          <c:idx val="6"/>
          <c:order val="6"/>
          <c:tx>
            <c:strRef>
              <c:f>II_Kopējā_dinamika!$A$205</c:f>
              <c:strCache>
                <c:ptCount val="1"/>
                <c:pt idx="0">
                  <c:v>Pasta pakalpojumi</c:v>
                </c:pt>
              </c:strCache>
            </c:strRef>
          </c:tx>
          <c:spPr>
            <a:solidFill>
              <a:srgbClr val="A162D0"/>
            </a:solidFill>
            <a:ln>
              <a:noFill/>
            </a:ln>
            <a:effectLst/>
          </c:spPr>
          <c:invertIfNegative val="0"/>
          <c:dLbls>
            <c:dLbl>
              <c:idx val="0"/>
              <c:layout>
                <c:manualLayout>
                  <c:x val="4.8691415026196234E-2"/>
                  <c:y val="1.207729468599032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894-4B42-8F67-85690C8624FD}"/>
                </c:ext>
              </c:extLst>
            </c:dLbl>
            <c:dLbl>
              <c:idx val="1"/>
              <c:layout>
                <c:manualLayout>
                  <c:x val="4.7068367858656361E-2"/>
                  <c:y val="9.661835748792282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894-4B42-8F67-85690C8624FD}"/>
                </c:ext>
              </c:extLst>
            </c:dLbl>
            <c:dLbl>
              <c:idx val="2"/>
              <c:layout>
                <c:manualLayout>
                  <c:x val="5.0314462193736115E-2"/>
                  <c:y val="-7.24637681159420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894-4B42-8F67-85690C8624FD}"/>
                </c:ext>
              </c:extLst>
            </c:dLbl>
            <c:dLbl>
              <c:idx val="3"/>
              <c:layout>
                <c:manualLayout>
                  <c:x val="4.3822273523576614E-2"/>
                  <c:y val="-7.24637681159420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894-4B42-8F67-85690C8624FD}"/>
                </c:ext>
              </c:extLst>
            </c:dLbl>
            <c:dLbl>
              <c:idx val="4"/>
              <c:layout>
                <c:manualLayout>
                  <c:x val="4.2199226356036741E-2"/>
                  <c:y val="7.24637681159420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894-4B42-8F67-85690C8624FD}"/>
                </c:ext>
              </c:extLst>
            </c:dLbl>
            <c:dLbl>
              <c:idx val="5"/>
              <c:layout>
                <c:manualLayout>
                  <c:x val="4.8691415026196234E-2"/>
                  <c:y val="7.24637681159420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894-4B42-8F67-85690C8624FD}"/>
                </c:ext>
              </c:extLst>
            </c:dLbl>
            <c:dLbl>
              <c:idx val="6"/>
              <c:layout>
                <c:manualLayout>
                  <c:x val="5.5235903337169157E-2"/>
                  <c:y val="3.120124293959276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73E-4DCA-AA7E-43F5433D3C48}"/>
                </c:ext>
              </c:extLst>
            </c:dLbl>
            <c:spPr>
              <a:solidFill>
                <a:schemeClr val="bg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II_Kopējā_dinamika!$B$198:$H$198</c:f>
              <c:strCache>
                <c:ptCount val="7"/>
                <c:pt idx="0">
                  <c:v>2010.gads</c:v>
                </c:pt>
                <c:pt idx="1">
                  <c:v>2011.gads</c:v>
                </c:pt>
                <c:pt idx="2">
                  <c:v>2012.gads</c:v>
                </c:pt>
                <c:pt idx="3">
                  <c:v>2013.gads</c:v>
                </c:pt>
                <c:pt idx="4">
                  <c:v>2014.gads</c:v>
                </c:pt>
                <c:pt idx="5">
                  <c:v>2015.gads</c:v>
                </c:pt>
                <c:pt idx="6">
                  <c:v>2016.gads</c:v>
                </c:pt>
              </c:strCache>
            </c:strRef>
          </c:cat>
          <c:val>
            <c:numRef>
              <c:f>II_Kopējā_dinamika!$B$205:$H$205</c:f>
              <c:numCache>
                <c:formatCode>0.0%</c:formatCode>
                <c:ptCount val="7"/>
                <c:pt idx="0">
                  <c:v>0.01</c:v>
                </c:pt>
                <c:pt idx="1">
                  <c:v>1.9E-2</c:v>
                </c:pt>
                <c:pt idx="2">
                  <c:v>8.0000000000000002E-3</c:v>
                </c:pt>
                <c:pt idx="3">
                  <c:v>1.4999999999999999E-2</c:v>
                </c:pt>
                <c:pt idx="4">
                  <c:v>8.0000000000000002E-3</c:v>
                </c:pt>
                <c:pt idx="5">
                  <c:v>6.0000000000000001E-3</c:v>
                </c:pt>
                <c:pt idx="6">
                  <c:v>0.01</c:v>
                </c:pt>
              </c:numCache>
            </c:numRef>
          </c:val>
          <c:extLst>
            <c:ext xmlns:c16="http://schemas.microsoft.com/office/drawing/2014/chart" uri="{C3380CC4-5D6E-409C-BE32-E72D297353CC}">
              <c16:uniqueId val="{00000006-E894-4B42-8F67-85690C8624FD}"/>
            </c:ext>
          </c:extLst>
        </c:ser>
        <c:ser>
          <c:idx val="7"/>
          <c:order val="7"/>
          <c:tx>
            <c:strRef>
              <c:f>II_Kopējā_dinamika!$A$206</c:f>
              <c:strCache>
                <c:ptCount val="1"/>
                <c:pt idx="0">
                  <c:v>Ostas</c:v>
                </c:pt>
              </c:strCache>
            </c:strRef>
          </c:tx>
          <c:spPr>
            <a:solidFill>
              <a:srgbClr val="CB5D13"/>
            </a:solidFill>
            <a:ln>
              <a:noFill/>
            </a:ln>
            <a:effectLst/>
          </c:spPr>
          <c:invertIfNegative val="0"/>
          <c:dLbls>
            <c:dLbl>
              <c:idx val="6"/>
              <c:layout>
                <c:manualLayout>
                  <c:x val="5.5235903337169157E-2"/>
                  <c:y val="2.080082862639517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73E-4DCA-AA7E-43F5433D3C48}"/>
                </c:ext>
              </c:extLst>
            </c:dLbl>
            <c:spPr>
              <a:solidFill>
                <a:schemeClr val="bg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II_Kopējā_dinamika!$B$198:$H$198</c:f>
              <c:strCache>
                <c:ptCount val="7"/>
                <c:pt idx="0">
                  <c:v>2010.gads</c:v>
                </c:pt>
                <c:pt idx="1">
                  <c:v>2011.gads</c:v>
                </c:pt>
                <c:pt idx="2">
                  <c:v>2012.gads</c:v>
                </c:pt>
                <c:pt idx="3">
                  <c:v>2013.gads</c:v>
                </c:pt>
                <c:pt idx="4">
                  <c:v>2014.gads</c:v>
                </c:pt>
                <c:pt idx="5">
                  <c:v>2015.gads</c:v>
                </c:pt>
                <c:pt idx="6">
                  <c:v>2016.gads</c:v>
                </c:pt>
              </c:strCache>
            </c:strRef>
          </c:cat>
          <c:val>
            <c:numRef>
              <c:f>II_Kopējā_dinamika!$B$206:$H$206</c:f>
              <c:numCache>
                <c:formatCode>0.0%</c:formatCode>
                <c:ptCount val="7"/>
                <c:pt idx="0">
                  <c:v>3.7999999999999999E-2</c:v>
                </c:pt>
                <c:pt idx="1">
                  <c:v>6.9000000000000006E-2</c:v>
                </c:pt>
                <c:pt idx="2">
                  <c:v>0.13100000000000001</c:v>
                </c:pt>
                <c:pt idx="3">
                  <c:v>0.09</c:v>
                </c:pt>
                <c:pt idx="4">
                  <c:v>5.6000000000000001E-2</c:v>
                </c:pt>
                <c:pt idx="5">
                  <c:v>4.9000000000000002E-2</c:v>
                </c:pt>
                <c:pt idx="6">
                  <c:v>2.5999999999999999E-2</c:v>
                </c:pt>
              </c:numCache>
            </c:numRef>
          </c:val>
          <c:extLst>
            <c:ext xmlns:c16="http://schemas.microsoft.com/office/drawing/2014/chart" uri="{C3380CC4-5D6E-409C-BE32-E72D297353CC}">
              <c16:uniqueId val="{00000007-E894-4B42-8F67-85690C8624FD}"/>
            </c:ext>
          </c:extLst>
        </c:ser>
        <c:ser>
          <c:idx val="8"/>
          <c:order val="8"/>
          <c:tx>
            <c:strRef>
              <c:f>II_Kopējā_dinamika!$A$207</c:f>
              <c:strCache>
                <c:ptCount val="1"/>
                <c:pt idx="0">
                  <c:v>Lidostas</c:v>
                </c:pt>
              </c:strCache>
            </c:strRef>
          </c:tx>
          <c:spPr>
            <a:solidFill>
              <a:schemeClr val="accent6">
                <a:lumMod val="75000"/>
              </a:schemeClr>
            </a:solidFill>
            <a:ln>
              <a:noFill/>
            </a:ln>
            <a:effectLst/>
          </c:spPr>
          <c:invertIfNegative val="0"/>
          <c:dLbls>
            <c:dLbl>
              <c:idx val="0"/>
              <c:layout>
                <c:manualLayout>
                  <c:x val="4.7068367858656361E-2"/>
                  <c:y val="-7.24637681159420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894-4B42-8F67-85690C8624FD}"/>
                </c:ext>
              </c:extLst>
            </c:dLbl>
            <c:dLbl>
              <c:idx val="1"/>
              <c:layout>
                <c:manualLayout>
                  <c:x val="4.7068367858656361E-2"/>
                  <c:y val="-4.83091787439613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894-4B42-8F67-85690C8624FD}"/>
                </c:ext>
              </c:extLst>
            </c:dLbl>
            <c:dLbl>
              <c:idx val="2"/>
              <c:layout>
                <c:manualLayout>
                  <c:x val="5.1937509361275988E-2"/>
                  <c:y val="-1.44927536231884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894-4B42-8F67-85690C8624FD}"/>
                </c:ext>
              </c:extLst>
            </c:dLbl>
            <c:dLbl>
              <c:idx val="3"/>
              <c:layout>
                <c:manualLayout>
                  <c:x val="4.8691415026196234E-2"/>
                  <c:y val="-4.830917874396137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894-4B42-8F67-85690C8624FD}"/>
                </c:ext>
              </c:extLst>
            </c:dLbl>
            <c:dLbl>
              <c:idx val="4"/>
              <c:layout>
                <c:manualLayout>
                  <c:x val="3.8953132020956988E-2"/>
                  <c:y val="-9.661835748792273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894-4B42-8F67-85690C8624FD}"/>
                </c:ext>
              </c:extLst>
            </c:dLbl>
            <c:dLbl>
              <c:idx val="5"/>
              <c:layout>
                <c:manualLayout>
                  <c:x val="3.8953132020956988E-2"/>
                  <c:y val="-7.24637681159420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894-4B42-8F67-85690C8624FD}"/>
                </c:ext>
              </c:extLst>
            </c:dLbl>
            <c:dLbl>
              <c:idx val="6"/>
              <c:layout>
                <c:manualLayout>
                  <c:x val="5.8304564633678557E-2"/>
                  <c:y val="-1.24804971758371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73E-4DCA-AA7E-43F5433D3C48}"/>
                </c:ext>
              </c:extLst>
            </c:dLbl>
            <c:spPr>
              <a:solidFill>
                <a:schemeClr val="bg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II_Kopējā_dinamika!$B$198:$H$198</c:f>
              <c:strCache>
                <c:ptCount val="7"/>
                <c:pt idx="0">
                  <c:v>2010.gads</c:v>
                </c:pt>
                <c:pt idx="1">
                  <c:v>2011.gads</c:v>
                </c:pt>
                <c:pt idx="2">
                  <c:v>2012.gads</c:v>
                </c:pt>
                <c:pt idx="3">
                  <c:v>2013.gads</c:v>
                </c:pt>
                <c:pt idx="4">
                  <c:v>2014.gads</c:v>
                </c:pt>
                <c:pt idx="5">
                  <c:v>2015.gads</c:v>
                </c:pt>
                <c:pt idx="6">
                  <c:v>2016.gads</c:v>
                </c:pt>
              </c:strCache>
            </c:strRef>
          </c:cat>
          <c:val>
            <c:numRef>
              <c:f>II_Kopējā_dinamika!$B$207:$H$207</c:f>
              <c:numCache>
                <c:formatCode>0.0%</c:formatCode>
                <c:ptCount val="7"/>
                <c:pt idx="0">
                  <c:v>6.0000000000000001E-3</c:v>
                </c:pt>
                <c:pt idx="1">
                  <c:v>0.01</c:v>
                </c:pt>
                <c:pt idx="2">
                  <c:v>6.7000000000000004E-2</c:v>
                </c:pt>
                <c:pt idx="3">
                  <c:v>1.7999999999999999E-2</c:v>
                </c:pt>
                <c:pt idx="4">
                  <c:v>3.4000000000000002E-2</c:v>
                </c:pt>
                <c:pt idx="5">
                  <c:v>3.4000000000000002E-2</c:v>
                </c:pt>
                <c:pt idx="6">
                  <c:v>1.2E-2</c:v>
                </c:pt>
              </c:numCache>
            </c:numRef>
          </c:val>
          <c:extLst>
            <c:ext xmlns:c16="http://schemas.microsoft.com/office/drawing/2014/chart" uri="{C3380CC4-5D6E-409C-BE32-E72D297353CC}">
              <c16:uniqueId val="{00000008-E894-4B42-8F67-85690C8624FD}"/>
            </c:ext>
          </c:extLst>
        </c:ser>
        <c:dLbls>
          <c:dLblPos val="ctr"/>
          <c:showLegendKey val="0"/>
          <c:showVal val="1"/>
          <c:showCatName val="0"/>
          <c:showSerName val="0"/>
          <c:showPercent val="0"/>
          <c:showBubbleSize val="0"/>
        </c:dLbls>
        <c:gapWidth val="150"/>
        <c:overlap val="100"/>
        <c:axId val="482768384"/>
        <c:axId val="482768712"/>
      </c:barChart>
      <c:catAx>
        <c:axId val="48276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2768712"/>
        <c:crosses val="autoZero"/>
        <c:auto val="1"/>
        <c:lblAlgn val="ctr"/>
        <c:lblOffset val="100"/>
        <c:noMultiLvlLbl val="0"/>
      </c:catAx>
      <c:valAx>
        <c:axId val="48276871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2768384"/>
        <c:crosses val="autoZero"/>
        <c:crossBetween val="between"/>
      </c:valAx>
      <c:spPr>
        <a:noFill/>
        <a:ln>
          <a:noFill/>
        </a:ln>
        <a:effectLst/>
      </c:spPr>
    </c:plotArea>
    <c:legend>
      <c:legendPos val="b"/>
      <c:layout>
        <c:manualLayout>
          <c:xMode val="edge"/>
          <c:yMode val="edge"/>
          <c:x val="4.9999948880404169E-2"/>
          <c:y val="0.95399674588187788"/>
          <c:w val="0.89999997444020208"/>
          <c:h val="4.600325411812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III_Virs_ES_iep_veidi_Tab_Din!$A$4</c:f>
              <c:strCache>
                <c:ptCount val="1"/>
                <c:pt idx="0">
                  <c:v>Būvdarbi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III_Virs_ES_iep_veidi_Tab_Din!$B$3:$C$3</c:f>
              <c:strCache>
                <c:ptCount val="2"/>
                <c:pt idx="0">
                  <c:v>Iepirkumu līgumu skaits</c:v>
                </c:pt>
                <c:pt idx="1">
                  <c:v>Vispārīgo vienošanos skaits</c:v>
                </c:pt>
              </c:strCache>
            </c:strRef>
          </c:cat>
          <c:val>
            <c:numRef>
              <c:f>III_Virs_ES_iep_veidi_Tab_Din!$B$4:$C$4</c:f>
              <c:numCache>
                <c:formatCode>General</c:formatCode>
                <c:ptCount val="2"/>
                <c:pt idx="0">
                  <c:v>2</c:v>
                </c:pt>
                <c:pt idx="1">
                  <c:v>2</c:v>
                </c:pt>
              </c:numCache>
            </c:numRef>
          </c:val>
          <c:extLst>
            <c:ext xmlns:c16="http://schemas.microsoft.com/office/drawing/2014/chart" uri="{C3380CC4-5D6E-409C-BE32-E72D297353CC}">
              <c16:uniqueId val="{00000000-D9D5-4364-8DA4-A2BB8305B796}"/>
            </c:ext>
          </c:extLst>
        </c:ser>
        <c:ser>
          <c:idx val="1"/>
          <c:order val="1"/>
          <c:tx>
            <c:strRef>
              <c:f>III_Virs_ES_iep_veidi_Tab_Din!$A$5</c:f>
              <c:strCache>
                <c:ptCount val="1"/>
                <c:pt idx="0">
                  <c:v>Preces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III_Virs_ES_iep_veidi_Tab_Din!$B$3:$C$3</c:f>
              <c:strCache>
                <c:ptCount val="2"/>
                <c:pt idx="0">
                  <c:v>Iepirkumu līgumu skaits</c:v>
                </c:pt>
                <c:pt idx="1">
                  <c:v>Vispārīgo vienošanos skaits</c:v>
                </c:pt>
              </c:strCache>
            </c:strRef>
          </c:cat>
          <c:val>
            <c:numRef>
              <c:f>III_Virs_ES_iep_veidi_Tab_Din!$B$5:$C$5</c:f>
              <c:numCache>
                <c:formatCode>General</c:formatCode>
                <c:ptCount val="2"/>
                <c:pt idx="0">
                  <c:v>74</c:v>
                </c:pt>
                <c:pt idx="1">
                  <c:v>35</c:v>
                </c:pt>
              </c:numCache>
            </c:numRef>
          </c:val>
          <c:extLst>
            <c:ext xmlns:c16="http://schemas.microsoft.com/office/drawing/2014/chart" uri="{C3380CC4-5D6E-409C-BE32-E72D297353CC}">
              <c16:uniqueId val="{00000001-D9D5-4364-8DA4-A2BB8305B796}"/>
            </c:ext>
          </c:extLst>
        </c:ser>
        <c:ser>
          <c:idx val="2"/>
          <c:order val="2"/>
          <c:tx>
            <c:strRef>
              <c:f>III_Virs_ES_iep_veidi_Tab_Din!$A$6</c:f>
              <c:strCache>
                <c:ptCount val="1"/>
                <c:pt idx="0">
                  <c:v>Pakalpojumi</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III_Virs_ES_iep_veidi_Tab_Din!$B$3:$C$3</c:f>
              <c:strCache>
                <c:ptCount val="2"/>
                <c:pt idx="0">
                  <c:v>Iepirkumu līgumu skaits</c:v>
                </c:pt>
                <c:pt idx="1">
                  <c:v>Vispārīgo vienošanos skaits</c:v>
                </c:pt>
              </c:strCache>
            </c:strRef>
          </c:cat>
          <c:val>
            <c:numRef>
              <c:f>III_Virs_ES_iep_veidi_Tab_Din!$B$6:$C$6</c:f>
              <c:numCache>
                <c:formatCode>General</c:formatCode>
                <c:ptCount val="2"/>
                <c:pt idx="0">
                  <c:v>28</c:v>
                </c:pt>
                <c:pt idx="1">
                  <c:v>5</c:v>
                </c:pt>
              </c:numCache>
            </c:numRef>
          </c:val>
          <c:extLst>
            <c:ext xmlns:c16="http://schemas.microsoft.com/office/drawing/2014/chart" uri="{C3380CC4-5D6E-409C-BE32-E72D297353CC}">
              <c16:uniqueId val="{00000003-D9D5-4364-8DA4-A2BB8305B796}"/>
            </c:ext>
          </c:extLst>
        </c:ser>
        <c:dLbls>
          <c:showLegendKey val="0"/>
          <c:showVal val="0"/>
          <c:showCatName val="0"/>
          <c:showSerName val="0"/>
          <c:showPercent val="0"/>
          <c:showBubbleSize val="0"/>
        </c:dLbls>
        <c:gapWidth val="219"/>
        <c:axId val="391774880"/>
        <c:axId val="391782752"/>
      </c:barChart>
      <c:catAx>
        <c:axId val="391774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1782752"/>
        <c:crosses val="autoZero"/>
        <c:auto val="1"/>
        <c:lblAlgn val="ctr"/>
        <c:lblOffset val="100"/>
        <c:noMultiLvlLbl val="0"/>
      </c:catAx>
      <c:valAx>
        <c:axId val="391782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1774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4292918065776698E-2"/>
          <c:y val="9.9795899638419325E-2"/>
          <c:w val="0.83141416386844658"/>
          <c:h val="0.77243617275113341"/>
        </c:manualLayout>
      </c:layout>
      <c:pie3DChart>
        <c:varyColors val="1"/>
        <c:ser>
          <c:idx val="0"/>
          <c:order val="0"/>
          <c:tx>
            <c:strRef>
              <c:f>III_Virs_ES_iep_veidi_Tab_Din!$B$13</c:f>
              <c:strCache>
                <c:ptCount val="1"/>
                <c:pt idx="0">
                  <c:v>Noslēgto līgumu summa (EUR)</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12CB-4BCB-BC1C-5F86BB17040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2CB-4BCB-BC1C-5F86BB17040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12CB-4BCB-BC1C-5F86BB170409}"/>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2-12CB-4BCB-BC1C-5F86BB170409}"/>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3-12CB-4BCB-BC1C-5F86BB170409}"/>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4-12CB-4BCB-BC1C-5F86BB170409}"/>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III_Virs_ES_iep_veidi_Tab_Din!$A$14:$A$16</c:f>
              <c:strCache>
                <c:ptCount val="3"/>
                <c:pt idx="0">
                  <c:v>Būvdarbi</c:v>
                </c:pt>
                <c:pt idx="1">
                  <c:v>Preces</c:v>
                </c:pt>
                <c:pt idx="2">
                  <c:v>Pakalpojumi</c:v>
                </c:pt>
              </c:strCache>
            </c:strRef>
          </c:cat>
          <c:val>
            <c:numRef>
              <c:f>III_Virs_ES_iep_veidi_Tab_Din!$B$14:$B$16</c:f>
              <c:numCache>
                <c:formatCode>#,##0</c:formatCode>
                <c:ptCount val="3"/>
                <c:pt idx="0">
                  <c:v>124242227</c:v>
                </c:pt>
                <c:pt idx="1">
                  <c:v>358602200</c:v>
                </c:pt>
                <c:pt idx="2">
                  <c:v>165781801</c:v>
                </c:pt>
              </c:numCache>
            </c:numRef>
          </c:val>
          <c:extLst>
            <c:ext xmlns:c16="http://schemas.microsoft.com/office/drawing/2014/chart" uri="{C3380CC4-5D6E-409C-BE32-E72D297353CC}">
              <c16:uniqueId val="{00000000-12CB-4BCB-BC1C-5F86BB170409}"/>
            </c:ext>
          </c:extLst>
        </c:ser>
        <c:ser>
          <c:idx val="1"/>
          <c:order val="1"/>
          <c:tx>
            <c:strRef>
              <c:f>III_Virs_ES_iep_veidi_Tab_Din!$C$13</c:f>
              <c:strCache>
                <c:ptCount val="1"/>
                <c:pt idx="0">
                  <c:v>Īpatsvars, %</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2CB-4BCB-BC1C-5F86BB17040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12CB-4BCB-BC1C-5F86BB17040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12CB-4BCB-BC1C-5F86BB170409}"/>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5-12CB-4BCB-BC1C-5F86BB170409}"/>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6-12CB-4BCB-BC1C-5F86BB170409}"/>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7-12CB-4BCB-BC1C-5F86BB170409}"/>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III_Virs_ES_iep_veidi_Tab_Din!$A$14:$A$16</c:f>
              <c:strCache>
                <c:ptCount val="3"/>
                <c:pt idx="0">
                  <c:v>Būvdarbi</c:v>
                </c:pt>
                <c:pt idx="1">
                  <c:v>Preces</c:v>
                </c:pt>
                <c:pt idx="2">
                  <c:v>Pakalpojumi</c:v>
                </c:pt>
              </c:strCache>
            </c:strRef>
          </c:cat>
          <c:val>
            <c:numRef>
              <c:f>III_Virs_ES_iep_veidi_Tab_Din!$C$14:$C$16</c:f>
              <c:numCache>
                <c:formatCode>0.0%</c:formatCode>
                <c:ptCount val="3"/>
                <c:pt idx="0">
                  <c:v>0.19154672080266233</c:v>
                </c:pt>
                <c:pt idx="1">
                  <c:v>0.55286416817545037</c:v>
                </c:pt>
                <c:pt idx="2">
                  <c:v>0.25558911102188731</c:v>
                </c:pt>
              </c:numCache>
            </c:numRef>
          </c:val>
          <c:extLst>
            <c:ext xmlns:c16="http://schemas.microsoft.com/office/drawing/2014/chart" uri="{C3380CC4-5D6E-409C-BE32-E72D297353CC}">
              <c16:uniqueId val="{00000001-12CB-4BCB-BC1C-5F86BB170409}"/>
            </c:ext>
          </c:extLst>
        </c:ser>
        <c:dLbls>
          <c:dLblPos val="outEnd"/>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90619813994138E-2"/>
          <c:y val="3.3840947546531303E-2"/>
          <c:w val="0.88579036404923339"/>
          <c:h val="0.8068582543933277"/>
        </c:manualLayout>
      </c:layout>
      <c:barChart>
        <c:barDir val="col"/>
        <c:grouping val="clustered"/>
        <c:varyColors val="0"/>
        <c:ser>
          <c:idx val="0"/>
          <c:order val="0"/>
          <c:tx>
            <c:strRef>
              <c:f>III_Virs_ES_iep_veidi_Tab_Din!$B$31</c:f>
              <c:strCache>
                <c:ptCount val="1"/>
                <c:pt idx="0">
                  <c:v>Būvdarbi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III_Virs_ES_iep_veidi_Tab_Din!$A$32:$A$38</c:f>
              <c:strCache>
                <c:ptCount val="7"/>
                <c:pt idx="0">
                  <c:v>2010.gads</c:v>
                </c:pt>
                <c:pt idx="1">
                  <c:v>2011.gads</c:v>
                </c:pt>
                <c:pt idx="2">
                  <c:v>2012.gads</c:v>
                </c:pt>
                <c:pt idx="3">
                  <c:v>2013.gads</c:v>
                </c:pt>
                <c:pt idx="4">
                  <c:v>2014.gads</c:v>
                </c:pt>
                <c:pt idx="5">
                  <c:v>2015.gads</c:v>
                </c:pt>
                <c:pt idx="6">
                  <c:v>2016.gads</c:v>
                </c:pt>
              </c:strCache>
            </c:strRef>
          </c:cat>
          <c:val>
            <c:numRef>
              <c:f>III_Virs_ES_iep_veidi_Tab_Din!$B$32:$B$38</c:f>
              <c:numCache>
                <c:formatCode>#\ ##0.0</c:formatCode>
                <c:ptCount val="7"/>
                <c:pt idx="0">
                  <c:v>210.7</c:v>
                </c:pt>
                <c:pt idx="1">
                  <c:v>83.5</c:v>
                </c:pt>
                <c:pt idx="2">
                  <c:v>316.60000000000002</c:v>
                </c:pt>
                <c:pt idx="3">
                  <c:v>130.80000000000001</c:v>
                </c:pt>
                <c:pt idx="4">
                  <c:v>207.6</c:v>
                </c:pt>
                <c:pt idx="5">
                  <c:v>28.9</c:v>
                </c:pt>
                <c:pt idx="6">
                  <c:v>124.2</c:v>
                </c:pt>
              </c:numCache>
            </c:numRef>
          </c:val>
          <c:extLst>
            <c:ext xmlns:c16="http://schemas.microsoft.com/office/drawing/2014/chart" uri="{C3380CC4-5D6E-409C-BE32-E72D297353CC}">
              <c16:uniqueId val="{00000000-08F5-4BAD-938A-229B00DC7960}"/>
            </c:ext>
          </c:extLst>
        </c:ser>
        <c:ser>
          <c:idx val="1"/>
          <c:order val="1"/>
          <c:tx>
            <c:strRef>
              <c:f>III_Virs_ES_iep_veidi_Tab_Din!$C$31</c:f>
              <c:strCache>
                <c:ptCount val="1"/>
                <c:pt idx="0">
                  <c:v>Preces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III_Virs_ES_iep_veidi_Tab_Din!$A$32:$A$38</c:f>
              <c:strCache>
                <c:ptCount val="7"/>
                <c:pt idx="0">
                  <c:v>2010.gads</c:v>
                </c:pt>
                <c:pt idx="1">
                  <c:v>2011.gads</c:v>
                </c:pt>
                <c:pt idx="2">
                  <c:v>2012.gads</c:v>
                </c:pt>
                <c:pt idx="3">
                  <c:v>2013.gads</c:v>
                </c:pt>
                <c:pt idx="4">
                  <c:v>2014.gads</c:v>
                </c:pt>
                <c:pt idx="5">
                  <c:v>2015.gads</c:v>
                </c:pt>
                <c:pt idx="6">
                  <c:v>2016.gads</c:v>
                </c:pt>
              </c:strCache>
            </c:strRef>
          </c:cat>
          <c:val>
            <c:numRef>
              <c:f>III_Virs_ES_iep_veidi_Tab_Din!$C$32:$C$38</c:f>
              <c:numCache>
                <c:formatCode>#\ ##0.0</c:formatCode>
                <c:ptCount val="7"/>
                <c:pt idx="0">
                  <c:v>125</c:v>
                </c:pt>
                <c:pt idx="1">
                  <c:v>256.60000000000002</c:v>
                </c:pt>
                <c:pt idx="2">
                  <c:v>634.79999999999995</c:v>
                </c:pt>
                <c:pt idx="3">
                  <c:v>517.6</c:v>
                </c:pt>
                <c:pt idx="4">
                  <c:v>358.3</c:v>
                </c:pt>
                <c:pt idx="5">
                  <c:v>298</c:v>
                </c:pt>
                <c:pt idx="6">
                  <c:v>358.6</c:v>
                </c:pt>
              </c:numCache>
            </c:numRef>
          </c:val>
          <c:extLst>
            <c:ext xmlns:c16="http://schemas.microsoft.com/office/drawing/2014/chart" uri="{C3380CC4-5D6E-409C-BE32-E72D297353CC}">
              <c16:uniqueId val="{00000001-08F5-4BAD-938A-229B00DC7960}"/>
            </c:ext>
          </c:extLst>
        </c:ser>
        <c:ser>
          <c:idx val="2"/>
          <c:order val="2"/>
          <c:tx>
            <c:strRef>
              <c:f>III_Virs_ES_iep_veidi_Tab_Din!$D$31</c:f>
              <c:strCache>
                <c:ptCount val="1"/>
                <c:pt idx="0">
                  <c:v>Pakalpojumi</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III_Virs_ES_iep_veidi_Tab_Din!$A$32:$A$38</c:f>
              <c:strCache>
                <c:ptCount val="7"/>
                <c:pt idx="0">
                  <c:v>2010.gads</c:v>
                </c:pt>
                <c:pt idx="1">
                  <c:v>2011.gads</c:v>
                </c:pt>
                <c:pt idx="2">
                  <c:v>2012.gads</c:v>
                </c:pt>
                <c:pt idx="3">
                  <c:v>2013.gads</c:v>
                </c:pt>
                <c:pt idx="4">
                  <c:v>2014.gads</c:v>
                </c:pt>
                <c:pt idx="5">
                  <c:v>2015.gads</c:v>
                </c:pt>
                <c:pt idx="6">
                  <c:v>2016.gads</c:v>
                </c:pt>
              </c:strCache>
            </c:strRef>
          </c:cat>
          <c:val>
            <c:numRef>
              <c:f>III_Virs_ES_iep_veidi_Tab_Din!$D$32:$D$38</c:f>
              <c:numCache>
                <c:formatCode>#\ ##0.0</c:formatCode>
                <c:ptCount val="7"/>
                <c:pt idx="0">
                  <c:v>277.39999999999998</c:v>
                </c:pt>
                <c:pt idx="1">
                  <c:v>62.4</c:v>
                </c:pt>
                <c:pt idx="2">
                  <c:v>39.799999999999997</c:v>
                </c:pt>
                <c:pt idx="3">
                  <c:v>89</c:v>
                </c:pt>
                <c:pt idx="4">
                  <c:v>118.3</c:v>
                </c:pt>
                <c:pt idx="5">
                  <c:v>40.6</c:v>
                </c:pt>
                <c:pt idx="6">
                  <c:v>165.8</c:v>
                </c:pt>
              </c:numCache>
            </c:numRef>
          </c:val>
          <c:extLst>
            <c:ext xmlns:c16="http://schemas.microsoft.com/office/drawing/2014/chart" uri="{C3380CC4-5D6E-409C-BE32-E72D297353CC}">
              <c16:uniqueId val="{00000002-08F5-4BAD-938A-229B00DC7960}"/>
            </c:ext>
          </c:extLst>
        </c:ser>
        <c:dLbls>
          <c:showLegendKey val="0"/>
          <c:showVal val="0"/>
          <c:showCatName val="0"/>
          <c:showSerName val="0"/>
          <c:showPercent val="0"/>
          <c:showBubbleSize val="0"/>
        </c:dLbls>
        <c:gapWidth val="219"/>
        <c:axId val="483683120"/>
        <c:axId val="483680168"/>
      </c:barChart>
      <c:lineChart>
        <c:grouping val="standard"/>
        <c:varyColors val="0"/>
        <c:ser>
          <c:idx val="3"/>
          <c:order val="3"/>
          <c:tx>
            <c:strRef>
              <c:f>III_Virs_ES_iep_veidi_Tab_Din!$E$31</c:f>
              <c:strCache>
                <c:ptCount val="1"/>
                <c:pt idx="0">
                  <c:v>Pavisam kopā</c:v>
                </c:pt>
              </c:strCache>
            </c:strRef>
          </c:tx>
          <c:spPr>
            <a:ln w="28575" cap="rnd">
              <a:solidFill>
                <a:schemeClr val="accent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4"/>
                </a:solidFill>
                <a:prstDash val="sysDot"/>
              </a:ln>
              <a:effectLst/>
            </c:spPr>
            <c:trendlineType val="linear"/>
            <c:dispRSqr val="0"/>
            <c:dispEq val="0"/>
          </c:trendline>
          <c:cat>
            <c:strRef>
              <c:f>III_Virs_ES_iep_veidi_Tab_Din!$A$32:$A$38</c:f>
              <c:strCache>
                <c:ptCount val="7"/>
                <c:pt idx="0">
                  <c:v>2010.gads</c:v>
                </c:pt>
                <c:pt idx="1">
                  <c:v>2011.gads</c:v>
                </c:pt>
                <c:pt idx="2">
                  <c:v>2012.gads</c:v>
                </c:pt>
                <c:pt idx="3">
                  <c:v>2013.gads</c:v>
                </c:pt>
                <c:pt idx="4">
                  <c:v>2014.gads</c:v>
                </c:pt>
                <c:pt idx="5">
                  <c:v>2015.gads</c:v>
                </c:pt>
                <c:pt idx="6">
                  <c:v>2016.gads</c:v>
                </c:pt>
              </c:strCache>
            </c:strRef>
          </c:cat>
          <c:val>
            <c:numRef>
              <c:f>III_Virs_ES_iep_veidi_Tab_Din!$E$32:$E$38</c:f>
              <c:numCache>
                <c:formatCode>#\ ##0.0</c:formatCode>
                <c:ptCount val="7"/>
                <c:pt idx="0">
                  <c:v>913.1</c:v>
                </c:pt>
                <c:pt idx="1">
                  <c:v>402.5</c:v>
                </c:pt>
                <c:pt idx="2">
                  <c:v>991.2</c:v>
                </c:pt>
                <c:pt idx="3">
                  <c:v>737.3</c:v>
                </c:pt>
                <c:pt idx="4">
                  <c:v>684.1</c:v>
                </c:pt>
                <c:pt idx="5">
                  <c:v>367.5</c:v>
                </c:pt>
                <c:pt idx="6">
                  <c:v>648.6</c:v>
                </c:pt>
              </c:numCache>
            </c:numRef>
          </c:val>
          <c:smooth val="0"/>
          <c:extLst>
            <c:ext xmlns:c16="http://schemas.microsoft.com/office/drawing/2014/chart" uri="{C3380CC4-5D6E-409C-BE32-E72D297353CC}">
              <c16:uniqueId val="{00000003-08F5-4BAD-938A-229B00DC7960}"/>
            </c:ext>
          </c:extLst>
        </c:ser>
        <c:dLbls>
          <c:showLegendKey val="0"/>
          <c:showVal val="0"/>
          <c:showCatName val="0"/>
          <c:showSerName val="0"/>
          <c:showPercent val="0"/>
          <c:showBubbleSize val="0"/>
        </c:dLbls>
        <c:marker val="1"/>
        <c:smooth val="0"/>
        <c:axId val="391755528"/>
        <c:axId val="391754872"/>
      </c:lineChart>
      <c:catAx>
        <c:axId val="483683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3680168"/>
        <c:crosses val="autoZero"/>
        <c:auto val="1"/>
        <c:lblAlgn val="ctr"/>
        <c:lblOffset val="100"/>
        <c:noMultiLvlLbl val="0"/>
      </c:catAx>
      <c:valAx>
        <c:axId val="483680168"/>
        <c:scaling>
          <c:orientation val="minMax"/>
          <c:max val="1200"/>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3683120"/>
        <c:crosses val="autoZero"/>
        <c:crossBetween val="between"/>
      </c:valAx>
      <c:valAx>
        <c:axId val="391754872"/>
        <c:scaling>
          <c:orientation val="minMax"/>
        </c:scaling>
        <c:delete val="0"/>
        <c:axPos val="r"/>
        <c:numFmt formatCode="#\ ##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1755528"/>
        <c:crosses val="max"/>
        <c:crossBetween val="between"/>
      </c:valAx>
      <c:catAx>
        <c:axId val="391755528"/>
        <c:scaling>
          <c:orientation val="minMax"/>
        </c:scaling>
        <c:delete val="1"/>
        <c:axPos val="b"/>
        <c:numFmt formatCode="General" sourceLinked="1"/>
        <c:majorTickMark val="out"/>
        <c:minorTickMark val="none"/>
        <c:tickLblPos val="nextTo"/>
        <c:crossAx val="39175487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III_Virs_ES_iep_veidi_Tab_Din!$A$74</c:f>
              <c:strCache>
                <c:ptCount val="1"/>
                <c:pt idx="0">
                  <c:v>Būvdarbi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III_Virs_ES_iep_veidi_Tab_Din!$B$73:$F$73</c:f>
              <c:strCache>
                <c:ptCount val="5"/>
                <c:pt idx="0">
                  <c:v>2012.gads</c:v>
                </c:pt>
                <c:pt idx="1">
                  <c:v>2013.gads</c:v>
                </c:pt>
                <c:pt idx="2">
                  <c:v>2014.gads</c:v>
                </c:pt>
                <c:pt idx="3">
                  <c:v>2015.gads</c:v>
                </c:pt>
                <c:pt idx="4">
                  <c:v>2016.gads</c:v>
                </c:pt>
              </c:strCache>
            </c:strRef>
          </c:cat>
          <c:val>
            <c:numRef>
              <c:f>III_Virs_ES_iep_veidi_Tab_Din!$B$74:$F$74</c:f>
              <c:numCache>
                <c:formatCode>0.0%</c:formatCode>
                <c:ptCount val="5"/>
                <c:pt idx="0">
                  <c:v>1.2749999999999999</c:v>
                </c:pt>
                <c:pt idx="1">
                  <c:v>-0.48299999999999998</c:v>
                </c:pt>
                <c:pt idx="2">
                  <c:v>-0.20699999999999999</c:v>
                </c:pt>
                <c:pt idx="3">
                  <c:v>-0.25700000000000001</c:v>
                </c:pt>
                <c:pt idx="4">
                  <c:v>3.2981286558649638</c:v>
                </c:pt>
              </c:numCache>
            </c:numRef>
          </c:val>
          <c:extLst>
            <c:ext xmlns:c16="http://schemas.microsoft.com/office/drawing/2014/chart" uri="{C3380CC4-5D6E-409C-BE32-E72D297353CC}">
              <c16:uniqueId val="{00000000-046B-41C0-ACD0-C7CDFD7852A6}"/>
            </c:ext>
          </c:extLst>
        </c:ser>
        <c:ser>
          <c:idx val="1"/>
          <c:order val="1"/>
          <c:tx>
            <c:strRef>
              <c:f>III_Virs_ES_iep_veidi_Tab_Din!$A$75</c:f>
              <c:strCache>
                <c:ptCount val="1"/>
                <c:pt idx="0">
                  <c:v>Preces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III_Virs_ES_iep_veidi_Tab_Din!$B$73:$F$73</c:f>
              <c:strCache>
                <c:ptCount val="5"/>
                <c:pt idx="0">
                  <c:v>2012.gads</c:v>
                </c:pt>
                <c:pt idx="1">
                  <c:v>2013.gads</c:v>
                </c:pt>
                <c:pt idx="2">
                  <c:v>2014.gads</c:v>
                </c:pt>
                <c:pt idx="3">
                  <c:v>2015.gads</c:v>
                </c:pt>
                <c:pt idx="4">
                  <c:v>2016.gads</c:v>
                </c:pt>
              </c:strCache>
            </c:strRef>
          </c:cat>
          <c:val>
            <c:numRef>
              <c:f>III_Virs_ES_iep_veidi_Tab_Din!$B$75:$F$75</c:f>
              <c:numCache>
                <c:formatCode>0.0%</c:formatCode>
                <c:ptCount val="5"/>
                <c:pt idx="0">
                  <c:v>1.3680000000000001</c:v>
                </c:pt>
                <c:pt idx="1">
                  <c:v>-0.23899999999999999</c:v>
                </c:pt>
                <c:pt idx="2">
                  <c:v>-0.248</c:v>
                </c:pt>
                <c:pt idx="3">
                  <c:v>-0.10299999999999999</c:v>
                </c:pt>
                <c:pt idx="4">
                  <c:v>0.13253369817791022</c:v>
                </c:pt>
              </c:numCache>
            </c:numRef>
          </c:val>
          <c:extLst>
            <c:ext xmlns:c16="http://schemas.microsoft.com/office/drawing/2014/chart" uri="{C3380CC4-5D6E-409C-BE32-E72D297353CC}">
              <c16:uniqueId val="{00000001-046B-41C0-ACD0-C7CDFD7852A6}"/>
            </c:ext>
          </c:extLst>
        </c:ser>
        <c:ser>
          <c:idx val="2"/>
          <c:order val="2"/>
          <c:tx>
            <c:strRef>
              <c:f>III_Virs_ES_iep_veidi_Tab_Din!$A$76</c:f>
              <c:strCache>
                <c:ptCount val="1"/>
                <c:pt idx="0">
                  <c:v>Pakalpojumi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III_Virs_ES_iep_veidi_Tab_Din!$B$73:$F$73</c:f>
              <c:strCache>
                <c:ptCount val="5"/>
                <c:pt idx="0">
                  <c:v>2012.gads</c:v>
                </c:pt>
                <c:pt idx="1">
                  <c:v>2013.gads</c:v>
                </c:pt>
                <c:pt idx="2">
                  <c:v>2014.gads</c:v>
                </c:pt>
                <c:pt idx="3">
                  <c:v>2015.gads</c:v>
                </c:pt>
                <c:pt idx="4">
                  <c:v>2016.gads</c:v>
                </c:pt>
              </c:strCache>
            </c:strRef>
          </c:cat>
          <c:val>
            <c:numRef>
              <c:f>III_Virs_ES_iep_veidi_Tab_Din!$B$76:$F$76</c:f>
              <c:numCache>
                <c:formatCode>0.0%</c:formatCode>
                <c:ptCount val="5"/>
                <c:pt idx="0">
                  <c:v>-0.33200000000000002</c:v>
                </c:pt>
                <c:pt idx="1">
                  <c:v>0.67500000000000004</c:v>
                </c:pt>
                <c:pt idx="2">
                  <c:v>9.5000000000000001E-2</c:v>
                </c:pt>
                <c:pt idx="3">
                  <c:v>-0.55100000000000005</c:v>
                </c:pt>
                <c:pt idx="4">
                  <c:v>2.9264138975316056</c:v>
                </c:pt>
              </c:numCache>
            </c:numRef>
          </c:val>
          <c:extLst>
            <c:ext xmlns:c16="http://schemas.microsoft.com/office/drawing/2014/chart" uri="{C3380CC4-5D6E-409C-BE32-E72D297353CC}">
              <c16:uniqueId val="{00000002-046B-41C0-ACD0-C7CDFD7852A6}"/>
            </c:ext>
          </c:extLst>
        </c:ser>
        <c:dLbls>
          <c:showLegendKey val="0"/>
          <c:showVal val="0"/>
          <c:showCatName val="0"/>
          <c:showSerName val="0"/>
          <c:showPercent val="0"/>
          <c:showBubbleSize val="0"/>
        </c:dLbls>
        <c:gapWidth val="219"/>
        <c:axId val="388388080"/>
        <c:axId val="388389392"/>
      </c:barChart>
      <c:lineChart>
        <c:grouping val="standard"/>
        <c:varyColors val="0"/>
        <c:ser>
          <c:idx val="3"/>
          <c:order val="3"/>
          <c:tx>
            <c:strRef>
              <c:f>III_Virs_ES_iep_veidi_Tab_Din!$A$77</c:f>
              <c:strCache>
                <c:ptCount val="1"/>
                <c:pt idx="0">
                  <c:v>Kopējais pieaugums/ samazinājums</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dLbls>
            <c:dLbl>
              <c:idx val="1"/>
              <c:layout>
                <c:manualLayout>
                  <c:x val="-4.0178874260995756E-2"/>
                  <c:y val="5.06888766563753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6B-41C0-ACD0-C7CDFD7852A6}"/>
                </c:ext>
              </c:extLst>
            </c:dLbl>
            <c:dLbl>
              <c:idx val="2"/>
              <c:layout>
                <c:manualLayout>
                  <c:x val="-5.6083446825608028E-2"/>
                  <c:y val="-0.1033131496860765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6B-41C0-ACD0-C7CDFD7852A6}"/>
                </c:ext>
              </c:extLst>
            </c:dLbl>
            <c:dLbl>
              <c:idx val="3"/>
              <c:layout>
                <c:manualLayout>
                  <c:x val="-6.4035733107914189E-2"/>
                  <c:y val="5.06888766563753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46B-41C0-ACD0-C7CDFD7852A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III_Virs_ES_iep_veidi_Tab_Din!$B$73:$F$73</c:f>
              <c:strCache>
                <c:ptCount val="5"/>
                <c:pt idx="0">
                  <c:v>2012.gads</c:v>
                </c:pt>
                <c:pt idx="1">
                  <c:v>2013.gads</c:v>
                </c:pt>
                <c:pt idx="2">
                  <c:v>2014.gads</c:v>
                </c:pt>
                <c:pt idx="3">
                  <c:v>2015.gads</c:v>
                </c:pt>
                <c:pt idx="4">
                  <c:v>2016.gads</c:v>
                </c:pt>
              </c:strCache>
            </c:strRef>
          </c:cat>
          <c:val>
            <c:numRef>
              <c:f>III_Virs_ES_iep_veidi_Tab_Din!$B$77:$F$77</c:f>
              <c:numCache>
                <c:formatCode>0.0%</c:formatCode>
                <c:ptCount val="5"/>
                <c:pt idx="0">
                  <c:v>1.3160000000000001</c:v>
                </c:pt>
                <c:pt idx="1">
                  <c:v>-0.32300000000000001</c:v>
                </c:pt>
                <c:pt idx="2">
                  <c:v>-0.13500000000000001</c:v>
                </c:pt>
                <c:pt idx="3">
                  <c:v>-0.313</c:v>
                </c:pt>
                <c:pt idx="4">
                  <c:v>0.67457389402834023</c:v>
                </c:pt>
              </c:numCache>
            </c:numRef>
          </c:val>
          <c:smooth val="0"/>
          <c:extLst>
            <c:ext xmlns:c16="http://schemas.microsoft.com/office/drawing/2014/chart" uri="{C3380CC4-5D6E-409C-BE32-E72D297353CC}">
              <c16:uniqueId val="{00000003-046B-41C0-ACD0-C7CDFD7852A6}"/>
            </c:ext>
          </c:extLst>
        </c:ser>
        <c:dLbls>
          <c:showLegendKey val="0"/>
          <c:showVal val="0"/>
          <c:showCatName val="0"/>
          <c:showSerName val="0"/>
          <c:showPercent val="0"/>
          <c:showBubbleSize val="0"/>
        </c:dLbls>
        <c:marker val="1"/>
        <c:smooth val="0"/>
        <c:axId val="486330056"/>
        <c:axId val="486329728"/>
      </c:lineChart>
      <c:catAx>
        <c:axId val="388388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lv-LV"/>
          </a:p>
        </c:txPr>
        <c:crossAx val="388389392"/>
        <c:crosses val="autoZero"/>
        <c:auto val="1"/>
        <c:lblAlgn val="ctr"/>
        <c:lblOffset val="100"/>
        <c:noMultiLvlLbl val="0"/>
      </c:catAx>
      <c:valAx>
        <c:axId val="388389392"/>
        <c:scaling>
          <c:orientation val="minMax"/>
          <c:max val="3.5"/>
          <c:min val="-1.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8388080"/>
        <c:crosses val="autoZero"/>
        <c:crossBetween val="between"/>
      </c:valAx>
      <c:valAx>
        <c:axId val="486329728"/>
        <c:scaling>
          <c:orientation val="minMax"/>
        </c:scaling>
        <c:delete val="0"/>
        <c:axPos val="r"/>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6330056"/>
        <c:crosses val="max"/>
        <c:crossBetween val="between"/>
      </c:valAx>
      <c:catAx>
        <c:axId val="486330056"/>
        <c:scaling>
          <c:orientation val="minMax"/>
        </c:scaling>
        <c:delete val="1"/>
        <c:axPos val="b"/>
        <c:numFmt formatCode="General" sourceLinked="1"/>
        <c:majorTickMark val="none"/>
        <c:minorTickMark val="none"/>
        <c:tickLblPos val="nextTo"/>
        <c:crossAx val="48632972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III_Virs_ES_iep_veidi_Tab_Din!$A$98</c:f>
              <c:strCache>
                <c:ptCount val="1"/>
                <c:pt idx="0">
                  <c:v>Būvdarbi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III_Virs_ES_iep_veidi_Tab_Din!$B$97:$F$97</c:f>
              <c:strCache>
                <c:ptCount val="5"/>
                <c:pt idx="0">
                  <c:v>2012.gads</c:v>
                </c:pt>
                <c:pt idx="1">
                  <c:v>2013.gads</c:v>
                </c:pt>
                <c:pt idx="2">
                  <c:v>2014.gads</c:v>
                </c:pt>
                <c:pt idx="3">
                  <c:v>2015.gads</c:v>
                </c:pt>
                <c:pt idx="4">
                  <c:v>2016.gads</c:v>
                </c:pt>
              </c:strCache>
            </c:strRef>
          </c:cat>
          <c:val>
            <c:numRef>
              <c:f>III_Virs_ES_iep_veidi_Tab_Din!$B$98:$F$98</c:f>
              <c:numCache>
                <c:formatCode>0.0%</c:formatCode>
                <c:ptCount val="5"/>
                <c:pt idx="0">
                  <c:v>0.89600000000000002</c:v>
                </c:pt>
                <c:pt idx="1">
                  <c:v>-0.44900000000000001</c:v>
                </c:pt>
                <c:pt idx="2">
                  <c:v>-0.379</c:v>
                </c:pt>
                <c:pt idx="3">
                  <c:v>6.8000000000000005E-2</c:v>
                </c:pt>
                <c:pt idx="4">
                  <c:v>2.2235964918987232</c:v>
                </c:pt>
              </c:numCache>
            </c:numRef>
          </c:val>
          <c:extLst>
            <c:ext xmlns:c16="http://schemas.microsoft.com/office/drawing/2014/chart" uri="{C3380CC4-5D6E-409C-BE32-E72D297353CC}">
              <c16:uniqueId val="{00000000-FC0E-4FE7-9C62-D4AA087580A2}"/>
            </c:ext>
          </c:extLst>
        </c:ser>
        <c:ser>
          <c:idx val="1"/>
          <c:order val="1"/>
          <c:tx>
            <c:strRef>
              <c:f>III_Virs_ES_iep_veidi_Tab_Din!$A$99</c:f>
              <c:strCache>
                <c:ptCount val="1"/>
                <c:pt idx="0">
                  <c:v>Preces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III_Virs_ES_iep_veidi_Tab_Din!$B$97:$F$97</c:f>
              <c:strCache>
                <c:ptCount val="5"/>
                <c:pt idx="0">
                  <c:v>2012.gads</c:v>
                </c:pt>
                <c:pt idx="1">
                  <c:v>2013.gads</c:v>
                </c:pt>
                <c:pt idx="2">
                  <c:v>2014.gads</c:v>
                </c:pt>
                <c:pt idx="3">
                  <c:v>2015.gads</c:v>
                </c:pt>
                <c:pt idx="4">
                  <c:v>2016.gads</c:v>
                </c:pt>
              </c:strCache>
            </c:strRef>
          </c:cat>
          <c:val>
            <c:numRef>
              <c:f>III_Virs_ES_iep_veidi_Tab_Din!$B$99:$F$99</c:f>
              <c:numCache>
                <c:formatCode>0.0%</c:formatCode>
                <c:ptCount val="5"/>
                <c:pt idx="0">
                  <c:v>1.1839999999999999</c:v>
                </c:pt>
                <c:pt idx="1">
                  <c:v>-0.49099999999999999</c:v>
                </c:pt>
                <c:pt idx="2">
                  <c:v>0.45</c:v>
                </c:pt>
                <c:pt idx="3">
                  <c:v>-0.53200000000000003</c:v>
                </c:pt>
                <c:pt idx="4">
                  <c:v>0.66698050643503193</c:v>
                </c:pt>
              </c:numCache>
            </c:numRef>
          </c:val>
          <c:extLst>
            <c:ext xmlns:c16="http://schemas.microsoft.com/office/drawing/2014/chart" uri="{C3380CC4-5D6E-409C-BE32-E72D297353CC}">
              <c16:uniqueId val="{00000001-FC0E-4FE7-9C62-D4AA087580A2}"/>
            </c:ext>
          </c:extLst>
        </c:ser>
        <c:ser>
          <c:idx val="2"/>
          <c:order val="2"/>
          <c:tx>
            <c:strRef>
              <c:f>III_Virs_ES_iep_veidi_Tab_Din!$A$100</c:f>
              <c:strCache>
                <c:ptCount val="1"/>
                <c:pt idx="0">
                  <c:v>Pakalpojumi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III_Virs_ES_iep_veidi_Tab_Din!$B$97:$F$97</c:f>
              <c:strCache>
                <c:ptCount val="5"/>
                <c:pt idx="0">
                  <c:v>2012.gads</c:v>
                </c:pt>
                <c:pt idx="1">
                  <c:v>2013.gads</c:v>
                </c:pt>
                <c:pt idx="2">
                  <c:v>2014.gads</c:v>
                </c:pt>
                <c:pt idx="3">
                  <c:v>2015.gads</c:v>
                </c:pt>
                <c:pt idx="4">
                  <c:v>2016.gads</c:v>
                </c:pt>
              </c:strCache>
            </c:strRef>
          </c:cat>
          <c:val>
            <c:numRef>
              <c:f>III_Virs_ES_iep_veidi_Tab_Din!$B$100:$F$100</c:f>
              <c:numCache>
                <c:formatCode>0.0%</c:formatCode>
                <c:ptCount val="5"/>
                <c:pt idx="0">
                  <c:v>-0.23400000000000001</c:v>
                </c:pt>
                <c:pt idx="1">
                  <c:v>-0.71099999999999997</c:v>
                </c:pt>
                <c:pt idx="2">
                  <c:v>4.8330000000000002</c:v>
                </c:pt>
                <c:pt idx="3">
                  <c:v>-0.873</c:v>
                </c:pt>
                <c:pt idx="4">
                  <c:v>13.703459035861361</c:v>
                </c:pt>
              </c:numCache>
            </c:numRef>
          </c:val>
          <c:extLst>
            <c:ext xmlns:c16="http://schemas.microsoft.com/office/drawing/2014/chart" uri="{C3380CC4-5D6E-409C-BE32-E72D297353CC}">
              <c16:uniqueId val="{00000002-FC0E-4FE7-9C62-D4AA087580A2}"/>
            </c:ext>
          </c:extLst>
        </c:ser>
        <c:dLbls>
          <c:showLegendKey val="0"/>
          <c:showVal val="0"/>
          <c:showCatName val="0"/>
          <c:showSerName val="0"/>
          <c:showPercent val="0"/>
          <c:showBubbleSize val="0"/>
        </c:dLbls>
        <c:gapWidth val="219"/>
        <c:axId val="385259464"/>
        <c:axId val="385258808"/>
      </c:barChart>
      <c:lineChart>
        <c:grouping val="standard"/>
        <c:varyColors val="0"/>
        <c:ser>
          <c:idx val="3"/>
          <c:order val="3"/>
          <c:tx>
            <c:strRef>
              <c:f>III_Virs_ES_iep_veidi_Tab_Din!$A$101</c:f>
              <c:strCache>
                <c:ptCount val="1"/>
                <c:pt idx="0">
                  <c:v>Kopējais pieaugums/ samazinājums</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dLbls>
            <c:dLbl>
              <c:idx val="1"/>
              <c:layout>
                <c:manualLayout>
                  <c:x val="-4.7988268105503759E-2"/>
                  <c:y val="-0.141263759940455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0E-4FE7-9C62-D4AA087580A2}"/>
                </c:ext>
              </c:extLst>
            </c:dLbl>
            <c:dLbl>
              <c:idx val="3"/>
              <c:layout>
                <c:manualLayout>
                  <c:x val="-4.534538709050441E-2"/>
                  <c:y val="-0.1372836604379677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0E-4FE7-9C62-D4AA087580A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III_Virs_ES_iep_veidi_Tab_Din!$B$97:$E$97</c:f>
              <c:strCache>
                <c:ptCount val="4"/>
                <c:pt idx="0">
                  <c:v>2012.gads</c:v>
                </c:pt>
                <c:pt idx="1">
                  <c:v>2013.gads</c:v>
                </c:pt>
                <c:pt idx="2">
                  <c:v>2014.gads</c:v>
                </c:pt>
                <c:pt idx="3">
                  <c:v>2015.gads</c:v>
                </c:pt>
              </c:strCache>
            </c:strRef>
          </c:cat>
          <c:val>
            <c:numRef>
              <c:f>III_Virs_ES_iep_veidi_Tab_Din!$B$101:$F$101</c:f>
              <c:numCache>
                <c:formatCode>0.0%</c:formatCode>
                <c:ptCount val="5"/>
                <c:pt idx="0">
                  <c:v>1.2290000000000001</c:v>
                </c:pt>
                <c:pt idx="1">
                  <c:v>-0.71</c:v>
                </c:pt>
                <c:pt idx="2">
                  <c:v>1.32</c:v>
                </c:pt>
                <c:pt idx="3">
                  <c:v>-0.70099999999999996</c:v>
                </c:pt>
                <c:pt idx="4">
                  <c:v>2.2995691531031239</c:v>
                </c:pt>
              </c:numCache>
            </c:numRef>
          </c:val>
          <c:smooth val="0"/>
          <c:extLst>
            <c:ext xmlns:c16="http://schemas.microsoft.com/office/drawing/2014/chart" uri="{C3380CC4-5D6E-409C-BE32-E72D297353CC}">
              <c16:uniqueId val="{00000003-FC0E-4FE7-9C62-D4AA087580A2}"/>
            </c:ext>
          </c:extLst>
        </c:ser>
        <c:dLbls>
          <c:showLegendKey val="0"/>
          <c:showVal val="0"/>
          <c:showCatName val="0"/>
          <c:showSerName val="0"/>
          <c:showPercent val="0"/>
          <c:showBubbleSize val="0"/>
        </c:dLbls>
        <c:marker val="1"/>
        <c:smooth val="0"/>
        <c:axId val="385260120"/>
        <c:axId val="385256512"/>
      </c:lineChart>
      <c:catAx>
        <c:axId val="3852594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lv-LV"/>
          </a:p>
        </c:txPr>
        <c:crossAx val="385258808"/>
        <c:crosses val="autoZero"/>
        <c:auto val="1"/>
        <c:lblAlgn val="ctr"/>
        <c:lblOffset val="100"/>
        <c:noMultiLvlLbl val="0"/>
      </c:catAx>
      <c:valAx>
        <c:axId val="3852588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5259464"/>
        <c:crosses val="autoZero"/>
        <c:crossBetween val="between"/>
      </c:valAx>
      <c:valAx>
        <c:axId val="385256512"/>
        <c:scaling>
          <c:orientation val="minMax"/>
          <c:max val="6"/>
        </c:scaling>
        <c:delete val="0"/>
        <c:axPos val="r"/>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5260120"/>
        <c:crosses val="max"/>
        <c:crossBetween val="between"/>
      </c:valAx>
      <c:catAx>
        <c:axId val="385260120"/>
        <c:scaling>
          <c:orientation val="minMax"/>
        </c:scaling>
        <c:delete val="1"/>
        <c:axPos val="b"/>
        <c:numFmt formatCode="General" sourceLinked="1"/>
        <c:majorTickMark val="none"/>
        <c:minorTickMark val="none"/>
        <c:tickLblPos val="nextTo"/>
        <c:crossAx val="38525651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III_Virs_ES_iep_veidi_Tab_Din!$B$151</c:f>
              <c:strCache>
                <c:ptCount val="1"/>
                <c:pt idx="0">
                  <c:v>Būvdarbi</c:v>
                </c:pt>
              </c:strCache>
            </c:strRef>
          </c:tx>
          <c:spPr>
            <a:solidFill>
              <a:schemeClr val="accent1"/>
            </a:solidFill>
            <a:ln>
              <a:noFill/>
            </a:ln>
            <a:effectLst/>
          </c:spPr>
          <c:invertIfNegative val="0"/>
          <c:dLbls>
            <c:dLbl>
              <c:idx val="0"/>
              <c:layout>
                <c:manualLayout>
                  <c:x val="3.0555555555555555E-2"/>
                  <c:y val="-4.166666666666658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9C-43B8-96F0-AE15FA78ECA5}"/>
                </c:ext>
              </c:extLst>
            </c:dLbl>
            <c:dLbl>
              <c:idx val="1"/>
              <c:layout>
                <c:manualLayout>
                  <c:x val="3.888888888888889E-2"/>
                  <c:y val="-5.092592592592601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89C-43B8-96F0-AE15FA78ECA5}"/>
                </c:ext>
              </c:extLst>
            </c:dLbl>
            <c:dLbl>
              <c:idx val="3"/>
              <c:layout>
                <c:manualLayout>
                  <c:x val="4.1666666666666664E-2"/>
                  <c:y val="-5.092592592592592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9C-43B8-96F0-AE15FA78ECA5}"/>
                </c:ext>
              </c:extLst>
            </c:dLbl>
            <c:dLbl>
              <c:idx val="4"/>
              <c:layout>
                <c:manualLayout>
                  <c:x val="4.1666666666666664E-2"/>
                  <c:y val="-5.092592592592592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9C-43B8-96F0-AE15FA78ECA5}"/>
                </c:ext>
              </c:extLst>
            </c:dLbl>
            <c:dLbl>
              <c:idx val="5"/>
              <c:layout>
                <c:manualLayout>
                  <c:x val="3.6111111111111108E-2"/>
                  <c:y val="-3.240740740740740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9C-43B8-96F0-AE15FA78ECA5}"/>
                </c:ext>
              </c:extLst>
            </c:dLbl>
            <c:dLbl>
              <c:idx val="6"/>
              <c:layout>
                <c:manualLayout>
                  <c:x val="4.4444444444444391E-2"/>
                  <c:y val="-3.24074074074074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9C-43B8-96F0-AE15FA78ECA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III_Virs_ES_iep_veidi_Tab_Din!$A$152:$A$159</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III_Virs_ES_iep_veidi_Tab_Din!$B$152:$B$159</c:f>
              <c:numCache>
                <c:formatCode>0.0%</c:formatCode>
                <c:ptCount val="8"/>
                <c:pt idx="0">
                  <c:v>0</c:v>
                </c:pt>
                <c:pt idx="1">
                  <c:v>0.40521186856738473</c:v>
                </c:pt>
                <c:pt idx="2">
                  <c:v>0</c:v>
                </c:pt>
                <c:pt idx="3">
                  <c:v>0</c:v>
                </c:pt>
                <c:pt idx="4">
                  <c:v>0</c:v>
                </c:pt>
                <c:pt idx="5">
                  <c:v>0</c:v>
                </c:pt>
                <c:pt idx="6">
                  <c:v>0.5957610452299128</c:v>
                </c:pt>
                <c:pt idx="7">
                  <c:v>0</c:v>
                </c:pt>
              </c:numCache>
            </c:numRef>
          </c:val>
          <c:extLst>
            <c:ext xmlns:c16="http://schemas.microsoft.com/office/drawing/2014/chart" uri="{C3380CC4-5D6E-409C-BE32-E72D297353CC}">
              <c16:uniqueId val="{00000000-189C-43B8-96F0-AE15FA78ECA5}"/>
            </c:ext>
          </c:extLst>
        </c:ser>
        <c:ser>
          <c:idx val="1"/>
          <c:order val="1"/>
          <c:tx>
            <c:strRef>
              <c:f>III_Virs_ES_iep_veidi_Tab_Din!$C$151</c:f>
              <c:strCache>
                <c:ptCount val="1"/>
                <c:pt idx="0">
                  <c:v>Prece</c:v>
                </c:pt>
              </c:strCache>
            </c:strRef>
          </c:tx>
          <c:spPr>
            <a:solidFill>
              <a:schemeClr val="accent2"/>
            </a:solidFill>
            <a:ln>
              <a:noFill/>
            </a:ln>
            <a:effectLst/>
          </c:spPr>
          <c:invertIfNegative val="0"/>
          <c:dLbls>
            <c:dLbl>
              <c:idx val="5"/>
              <c:layout>
                <c:manualLayout>
                  <c:x val="0.10833333333333328"/>
                  <c:y val="-2.777777777777782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9C-43B8-96F0-AE15FA78ECA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III_Virs_ES_iep_veidi_Tab_Din!$A$152:$A$159</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III_Virs_ES_iep_veidi_Tab_Din!$C$152:$C$159</c:f>
              <c:numCache>
                <c:formatCode>0.0%</c:formatCode>
                <c:ptCount val="8"/>
                <c:pt idx="0">
                  <c:v>0.15227048747475866</c:v>
                </c:pt>
                <c:pt idx="1">
                  <c:v>0.43852773440554565</c:v>
                </c:pt>
                <c:pt idx="2">
                  <c:v>0.85531362398321364</c:v>
                </c:pt>
                <c:pt idx="3">
                  <c:v>0.85175273105585181</c:v>
                </c:pt>
                <c:pt idx="4">
                  <c:v>0.64669801491626844</c:v>
                </c:pt>
                <c:pt idx="5">
                  <c:v>0.6</c:v>
                </c:pt>
                <c:pt idx="6">
                  <c:v>8.4809323795086475E-2</c:v>
                </c:pt>
                <c:pt idx="7">
                  <c:v>0.9638470544058213</c:v>
                </c:pt>
              </c:numCache>
            </c:numRef>
          </c:val>
          <c:extLst>
            <c:ext xmlns:c16="http://schemas.microsoft.com/office/drawing/2014/chart" uri="{C3380CC4-5D6E-409C-BE32-E72D297353CC}">
              <c16:uniqueId val="{00000001-189C-43B8-96F0-AE15FA78ECA5}"/>
            </c:ext>
          </c:extLst>
        </c:ser>
        <c:ser>
          <c:idx val="2"/>
          <c:order val="2"/>
          <c:tx>
            <c:strRef>
              <c:f>III_Virs_ES_iep_veidi_Tab_Din!$D$151</c:f>
              <c:strCache>
                <c:ptCount val="1"/>
                <c:pt idx="0">
                  <c:v>Pakalpojumi</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III_Virs_ES_iep_veidi_Tab_Din!$A$152:$A$159</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III_Virs_ES_iep_veidi_Tab_Din!$D$152:$D$159</c:f>
              <c:numCache>
                <c:formatCode>0.0%</c:formatCode>
                <c:ptCount val="8"/>
                <c:pt idx="0">
                  <c:v>0.84772951252524131</c:v>
                </c:pt>
                <c:pt idx="1">
                  <c:v>0.15626039702706962</c:v>
                </c:pt>
                <c:pt idx="2">
                  <c:v>0.1446863760167863</c:v>
                </c:pt>
                <c:pt idx="3">
                  <c:v>0.14824726894414825</c:v>
                </c:pt>
                <c:pt idx="4">
                  <c:v>0.35330198508373151</c:v>
                </c:pt>
                <c:pt idx="5">
                  <c:v>0.4</c:v>
                </c:pt>
                <c:pt idx="6">
                  <c:v>0.31942963097500071</c:v>
                </c:pt>
                <c:pt idx="7">
                  <c:v>3.6152945594178733E-2</c:v>
                </c:pt>
              </c:numCache>
            </c:numRef>
          </c:val>
          <c:extLst>
            <c:ext xmlns:c16="http://schemas.microsoft.com/office/drawing/2014/chart" uri="{C3380CC4-5D6E-409C-BE32-E72D297353CC}">
              <c16:uniqueId val="{00000002-189C-43B8-96F0-AE15FA78ECA5}"/>
            </c:ext>
          </c:extLst>
        </c:ser>
        <c:dLbls>
          <c:showLegendKey val="0"/>
          <c:showVal val="0"/>
          <c:showCatName val="0"/>
          <c:showSerName val="0"/>
          <c:showPercent val="0"/>
          <c:showBubbleSize val="0"/>
        </c:dLbls>
        <c:gapWidth val="150"/>
        <c:overlap val="100"/>
        <c:axId val="472129728"/>
        <c:axId val="472137272"/>
      </c:barChart>
      <c:catAx>
        <c:axId val="4721297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2137272"/>
        <c:crosses val="autoZero"/>
        <c:auto val="1"/>
        <c:lblAlgn val="ctr"/>
        <c:lblOffset val="100"/>
        <c:noMultiLvlLbl val="0"/>
      </c:catAx>
      <c:valAx>
        <c:axId val="472137272"/>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212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471424942849887E-2"/>
          <c:y val="4.2872454448017148E-2"/>
          <c:w val="0.8963242739818813"/>
          <c:h val="0.75531238659476252"/>
        </c:manualLayout>
      </c:layout>
      <c:lineChart>
        <c:grouping val="standard"/>
        <c:varyColors val="0"/>
        <c:ser>
          <c:idx val="0"/>
          <c:order val="0"/>
          <c:tx>
            <c:strRef>
              <c:f>III_Virs_ES_līgumu_vis.vien_Din!$B$12</c:f>
              <c:strCache>
                <c:ptCount val="1"/>
                <c:pt idx="0">
                  <c:v>Līgumu skaits</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dLbls>
            <c:dLbl>
              <c:idx val="3"/>
              <c:layout>
                <c:manualLayout>
                  <c:x val="-3.8000000000000103E-2"/>
                  <c:y val="-0.1967246281714785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7B-4264-A021-BB84670AEB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III_Virs_ES_līgumu_vis.vien_Din!$A$13:$A$17</c:f>
              <c:strCache>
                <c:ptCount val="5"/>
                <c:pt idx="0">
                  <c:v>2012.gads</c:v>
                </c:pt>
                <c:pt idx="1">
                  <c:v>2013.gads</c:v>
                </c:pt>
                <c:pt idx="2">
                  <c:v>2014.gads</c:v>
                </c:pt>
                <c:pt idx="3">
                  <c:v>2015.gads</c:v>
                </c:pt>
                <c:pt idx="4">
                  <c:v>2016.gads</c:v>
                </c:pt>
              </c:strCache>
            </c:strRef>
          </c:cat>
          <c:val>
            <c:numRef>
              <c:f>III_Virs_ES_līgumu_vis.vien_Din!$B$13:$B$17</c:f>
              <c:numCache>
                <c:formatCode>0.0%</c:formatCode>
                <c:ptCount val="5"/>
                <c:pt idx="0">
                  <c:v>0.73599999999999999</c:v>
                </c:pt>
                <c:pt idx="1">
                  <c:v>0.36099999999999999</c:v>
                </c:pt>
                <c:pt idx="2">
                  <c:v>0.78300000000000003</c:v>
                </c:pt>
                <c:pt idx="3">
                  <c:v>0.47299999999999998</c:v>
                </c:pt>
                <c:pt idx="4">
                  <c:v>0.71199999999999997</c:v>
                </c:pt>
              </c:numCache>
            </c:numRef>
          </c:val>
          <c:smooth val="0"/>
          <c:extLst>
            <c:ext xmlns:c16="http://schemas.microsoft.com/office/drawing/2014/chart" uri="{C3380CC4-5D6E-409C-BE32-E72D297353CC}">
              <c16:uniqueId val="{00000000-8F7B-4264-A021-BB84670AEBD8}"/>
            </c:ext>
          </c:extLst>
        </c:ser>
        <c:ser>
          <c:idx val="1"/>
          <c:order val="1"/>
          <c:tx>
            <c:strRef>
              <c:f>III_Virs_ES_līgumu_vis.vien_Din!$C$12</c:f>
              <c:strCache>
                <c:ptCount val="1"/>
                <c:pt idx="0">
                  <c:v>Vispārīgās vienošanās skaits</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dLbls>
            <c:dLbl>
              <c:idx val="3"/>
              <c:layout>
                <c:manualLayout>
                  <c:x val="-1.0222222222222223E-2"/>
                  <c:y val="0.1829050014581510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7B-4264-A021-BB84670AEB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strRef>
              <c:f>III_Virs_ES_līgumu_vis.vien_Din!$A$13:$A$17</c:f>
              <c:strCache>
                <c:ptCount val="5"/>
                <c:pt idx="0">
                  <c:v>2012.gads</c:v>
                </c:pt>
                <c:pt idx="1">
                  <c:v>2013.gads</c:v>
                </c:pt>
                <c:pt idx="2">
                  <c:v>2014.gads</c:v>
                </c:pt>
                <c:pt idx="3">
                  <c:v>2015.gads</c:v>
                </c:pt>
                <c:pt idx="4">
                  <c:v>2016.gads</c:v>
                </c:pt>
              </c:strCache>
            </c:strRef>
          </c:cat>
          <c:val>
            <c:numRef>
              <c:f>III_Virs_ES_līgumu_vis.vien_Din!$C$13:$C$17</c:f>
              <c:numCache>
                <c:formatCode>0.0%</c:formatCode>
                <c:ptCount val="5"/>
                <c:pt idx="0">
                  <c:v>0.26400000000000001</c:v>
                </c:pt>
                <c:pt idx="1">
                  <c:v>0.63900000000000001</c:v>
                </c:pt>
                <c:pt idx="2">
                  <c:v>0.217</c:v>
                </c:pt>
                <c:pt idx="3">
                  <c:v>0.52700000000000002</c:v>
                </c:pt>
                <c:pt idx="4">
                  <c:v>0.28799999999999998</c:v>
                </c:pt>
              </c:numCache>
            </c:numRef>
          </c:val>
          <c:smooth val="0"/>
          <c:extLst>
            <c:ext xmlns:c16="http://schemas.microsoft.com/office/drawing/2014/chart" uri="{C3380CC4-5D6E-409C-BE32-E72D297353CC}">
              <c16:uniqueId val="{00000001-8F7B-4264-A021-BB84670AEBD8}"/>
            </c:ext>
          </c:extLst>
        </c:ser>
        <c:dLbls>
          <c:dLblPos val="t"/>
          <c:showLegendKey val="0"/>
          <c:showVal val="1"/>
          <c:showCatName val="0"/>
          <c:showSerName val="0"/>
          <c:showPercent val="0"/>
          <c:showBubbleSize val="0"/>
        </c:dLbls>
        <c:smooth val="0"/>
        <c:axId val="403712256"/>
        <c:axId val="403708320"/>
      </c:lineChart>
      <c:catAx>
        <c:axId val="4037122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3708320"/>
        <c:crosses val="autoZero"/>
        <c:auto val="1"/>
        <c:lblAlgn val="ctr"/>
        <c:lblOffset val="100"/>
        <c:noMultiLvlLbl val="0"/>
      </c:catAx>
      <c:valAx>
        <c:axId val="4037083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3712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III_Virs_ES_līgumu_vis.vien_Din!$B$32</c:f>
              <c:strCache>
                <c:ptCount val="1"/>
                <c:pt idx="0">
                  <c:v>Iepirkumu skaits</c:v>
                </c:pt>
              </c:strCache>
            </c:strRef>
          </c:tx>
          <c:spPr>
            <a:solidFill>
              <a:schemeClr val="accent1"/>
            </a:solidFill>
            <a:ln>
              <a:noFill/>
            </a:ln>
            <a:effectLst/>
          </c:spPr>
          <c:invertIfNegative val="0"/>
          <c:dLbls>
            <c:dLbl>
              <c:idx val="0"/>
              <c:layout>
                <c:manualLayout>
                  <c:x val="0"/>
                  <c:y val="-3.065134099616858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266-4290-82DD-7637694886C7}"/>
                </c:ext>
              </c:extLst>
            </c:dLbl>
            <c:dLbl>
              <c:idx val="1"/>
              <c:layout>
                <c:manualLayout>
                  <c:x val="4.4444444444444495E-2"/>
                  <c:y val="-4.597701149425287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266-4290-82DD-7637694886C7}"/>
                </c:ext>
              </c:extLst>
            </c:dLbl>
            <c:dLbl>
              <c:idx val="3"/>
              <c:layout>
                <c:manualLayout>
                  <c:x val="8.0111835116471325E-2"/>
                  <c:y val="-0.14036915840065448"/>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2D-4B77-8A60-3661A15269E3}"/>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lv-LV"/>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III_Virs_ES_līgumu_vis.vien_Din!$A$33:$A$36</c:f>
              <c:strCache>
                <c:ptCount val="4"/>
                <c:pt idx="0">
                  <c:v>2013.gads</c:v>
                </c:pt>
                <c:pt idx="1">
                  <c:v>2014.gads</c:v>
                </c:pt>
                <c:pt idx="2">
                  <c:v>2015.gads</c:v>
                </c:pt>
                <c:pt idx="3">
                  <c:v>2016.gads</c:v>
                </c:pt>
              </c:strCache>
            </c:strRef>
          </c:cat>
          <c:val>
            <c:numRef>
              <c:f>III_Virs_ES_līgumu_vis.vien_Din!$B$33:$B$36</c:f>
              <c:numCache>
                <c:formatCode>0.0%</c:formatCode>
                <c:ptCount val="4"/>
                <c:pt idx="0">
                  <c:v>9.9009900990099015E-2</c:v>
                </c:pt>
                <c:pt idx="1">
                  <c:v>7.2072072072072071E-2</c:v>
                </c:pt>
                <c:pt idx="2">
                  <c:v>-0.21848739495798319</c:v>
                </c:pt>
                <c:pt idx="3">
                  <c:v>5.3763440860215055E-2</c:v>
                </c:pt>
              </c:numCache>
            </c:numRef>
          </c:val>
          <c:extLst>
            <c:ext xmlns:c16="http://schemas.microsoft.com/office/drawing/2014/chart" uri="{C3380CC4-5D6E-409C-BE32-E72D297353CC}">
              <c16:uniqueId val="{00000000-9266-4290-82DD-7637694886C7}"/>
            </c:ext>
          </c:extLst>
        </c:ser>
        <c:ser>
          <c:idx val="1"/>
          <c:order val="1"/>
          <c:tx>
            <c:strRef>
              <c:f>III_Virs_ES_līgumu_vis.vien_Din!$C$32</c:f>
              <c:strCache>
                <c:ptCount val="1"/>
                <c:pt idx="0">
                  <c:v>Kopā noslēgto līgumu un vispārīgās vienošanās skaits</c:v>
                </c:pt>
              </c:strCache>
            </c:strRef>
          </c:tx>
          <c:spPr>
            <a:solidFill>
              <a:schemeClr val="accent2"/>
            </a:solidFill>
            <a:ln>
              <a:noFill/>
            </a:ln>
            <a:effectLst/>
          </c:spPr>
          <c:invertIfNegative val="0"/>
          <c:dLbls>
            <c:dLbl>
              <c:idx val="0"/>
              <c:layout>
                <c:manualLayout>
                  <c:x val="9.7429980130988303E-2"/>
                  <c:y val="7.6628352490421452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66-4290-82DD-7637694886C7}"/>
                </c:ext>
              </c:extLst>
            </c:dLbl>
            <c:dLbl>
              <c:idx val="2"/>
              <c:layout>
                <c:manualLayout>
                  <c:x val="-1.388888888888899E-2"/>
                  <c:y val="-3.5120922504882739E-17"/>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266-4290-82DD-7637694886C7}"/>
                </c:ext>
              </c:extLst>
            </c:dLbl>
            <c:dLbl>
              <c:idx val="3"/>
              <c:layout>
                <c:manualLayout>
                  <c:x val="-1.2461059190031244E-2"/>
                  <c:y val="-4.597701149425287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22D-4B77-8A60-3661A15269E3}"/>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lv-LV"/>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III_Virs_ES_līgumu_vis.vien_Din!$A$33:$A$36</c:f>
              <c:strCache>
                <c:ptCount val="4"/>
                <c:pt idx="0">
                  <c:v>2013.gads</c:v>
                </c:pt>
                <c:pt idx="1">
                  <c:v>2014.gads</c:v>
                </c:pt>
                <c:pt idx="2">
                  <c:v>2015.gads</c:v>
                </c:pt>
                <c:pt idx="3">
                  <c:v>2016.gads</c:v>
                </c:pt>
              </c:strCache>
            </c:strRef>
          </c:cat>
          <c:val>
            <c:numRef>
              <c:f>III_Virs_ES_līgumu_vis.vien_Din!$C$33:$C$36</c:f>
              <c:numCache>
                <c:formatCode>0.0%</c:formatCode>
                <c:ptCount val="4"/>
                <c:pt idx="0">
                  <c:v>1.5675675675675675</c:v>
                </c:pt>
                <c:pt idx="1">
                  <c:v>-0.6</c:v>
                </c:pt>
                <c:pt idx="2">
                  <c:v>0.79605263157894735</c:v>
                </c:pt>
                <c:pt idx="3">
                  <c:v>-0.46520146520146521</c:v>
                </c:pt>
              </c:numCache>
            </c:numRef>
          </c:val>
          <c:extLst>
            <c:ext xmlns:c16="http://schemas.microsoft.com/office/drawing/2014/chart" uri="{C3380CC4-5D6E-409C-BE32-E72D297353CC}">
              <c16:uniqueId val="{00000001-9266-4290-82DD-7637694886C7}"/>
            </c:ext>
          </c:extLst>
        </c:ser>
        <c:dLbls>
          <c:showLegendKey val="0"/>
          <c:showVal val="1"/>
          <c:showCatName val="0"/>
          <c:showSerName val="0"/>
          <c:showPercent val="0"/>
          <c:showBubbleSize val="0"/>
        </c:dLbls>
        <c:gapWidth val="269"/>
        <c:overlap val="-27"/>
        <c:axId val="402499344"/>
        <c:axId val="402498360"/>
      </c:barChart>
      <c:lineChart>
        <c:grouping val="standard"/>
        <c:varyColors val="0"/>
        <c:ser>
          <c:idx val="2"/>
          <c:order val="2"/>
          <c:tx>
            <c:strRef>
              <c:f>III_Virs_ES_līgumu_vis.vien_Din!$D$32</c:f>
              <c:strCache>
                <c:ptCount val="1"/>
                <c:pt idx="0">
                  <c:v>Vidējais līgumu vai vispārīgo vienošanās skaits uz iepirkumu</c:v>
                </c:pt>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III_Virs_ES_līgumu_vis.vien_Din!$A$33:$A$36</c:f>
              <c:strCache>
                <c:ptCount val="4"/>
                <c:pt idx="0">
                  <c:v>2013.gads</c:v>
                </c:pt>
                <c:pt idx="1">
                  <c:v>2014.gads</c:v>
                </c:pt>
                <c:pt idx="2">
                  <c:v>2015.gads</c:v>
                </c:pt>
                <c:pt idx="3">
                  <c:v>2016.gads</c:v>
                </c:pt>
              </c:strCache>
            </c:strRef>
          </c:cat>
          <c:val>
            <c:numRef>
              <c:f>III_Virs_ES_līgumu_vis.vien_Din!$D$33:$D$36</c:f>
              <c:numCache>
                <c:formatCode>#\ ##0.0</c:formatCode>
                <c:ptCount val="4"/>
                <c:pt idx="0">
                  <c:v>3.4234234234234235</c:v>
                </c:pt>
                <c:pt idx="1">
                  <c:v>1.2773109243697478</c:v>
                </c:pt>
                <c:pt idx="2">
                  <c:v>2.935483870967742</c:v>
                </c:pt>
                <c:pt idx="3" formatCode="0.0">
                  <c:v>1.489795918367347</c:v>
                </c:pt>
              </c:numCache>
            </c:numRef>
          </c:val>
          <c:smooth val="0"/>
          <c:extLst>
            <c:ext xmlns:c16="http://schemas.microsoft.com/office/drawing/2014/chart" uri="{C3380CC4-5D6E-409C-BE32-E72D297353CC}">
              <c16:uniqueId val="{00000002-9266-4290-82DD-7637694886C7}"/>
            </c:ext>
          </c:extLst>
        </c:ser>
        <c:dLbls>
          <c:showLegendKey val="0"/>
          <c:showVal val="1"/>
          <c:showCatName val="0"/>
          <c:showSerName val="0"/>
          <c:showPercent val="0"/>
          <c:showBubbleSize val="0"/>
        </c:dLbls>
        <c:marker val="1"/>
        <c:smooth val="0"/>
        <c:axId val="402490816"/>
        <c:axId val="402490488"/>
      </c:lineChart>
      <c:catAx>
        <c:axId val="402499344"/>
        <c:scaling>
          <c:orientation val="minMax"/>
        </c:scaling>
        <c:delete val="1"/>
        <c:axPos val="b"/>
        <c:numFmt formatCode="General" sourceLinked="1"/>
        <c:majorTickMark val="none"/>
        <c:minorTickMark val="none"/>
        <c:tickLblPos val="nextTo"/>
        <c:crossAx val="402498360"/>
        <c:crosses val="autoZero"/>
        <c:auto val="1"/>
        <c:lblAlgn val="ctr"/>
        <c:lblOffset val="100"/>
        <c:noMultiLvlLbl val="0"/>
      </c:catAx>
      <c:valAx>
        <c:axId val="4024983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Procentuālais</a:t>
                </a:r>
                <a:r>
                  <a:rPr lang="lv-LV" baseline="0"/>
                  <a:t> ī</a:t>
                </a:r>
                <a:r>
                  <a:rPr lang="lv-LV"/>
                  <a:t>patsvars</a:t>
                </a:r>
                <a:r>
                  <a:rPr lang="lv-LV" baseline="0"/>
                  <a:t> pret iepriekšējo gadu</a:t>
                </a:r>
                <a:endParaRPr lang="lv-LV"/>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2499344"/>
        <c:crosses val="autoZero"/>
        <c:crossBetween val="between"/>
      </c:valAx>
      <c:valAx>
        <c:axId val="40249048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Skaits</a:t>
                </a:r>
              </a:p>
            </c:rich>
          </c:tx>
          <c:layout>
            <c:manualLayout>
              <c:xMode val="edge"/>
              <c:yMode val="edge"/>
              <c:x val="0.94466033801849536"/>
              <c:y val="0.2459571001900624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2490816"/>
        <c:crosses val="max"/>
        <c:crossBetween val="between"/>
      </c:valAx>
      <c:catAx>
        <c:axId val="402490816"/>
        <c:scaling>
          <c:orientation val="minMax"/>
        </c:scaling>
        <c:delete val="1"/>
        <c:axPos val="b"/>
        <c:numFmt formatCode="General" sourceLinked="1"/>
        <c:majorTickMark val="none"/>
        <c:minorTickMark val="none"/>
        <c:tickLblPos val="nextTo"/>
        <c:crossAx val="40249048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5360473516659638E-2"/>
          <c:y val="0.10925680867838289"/>
          <c:w val="0.86731443127014174"/>
          <c:h val="0.85895931259543123"/>
        </c:manualLayout>
      </c:layout>
      <c:pie3DChart>
        <c:varyColors val="1"/>
        <c:ser>
          <c:idx val="0"/>
          <c:order val="0"/>
          <c:explosion val="3"/>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05A4-4192-B702-94DE699A64CC}"/>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5A4-4192-B702-94DE699A64CC}"/>
              </c:ext>
            </c:extLst>
          </c:dPt>
          <c:dPt>
            <c:idx val="2"/>
            <c:bubble3D val="0"/>
            <c:explosion val="9"/>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05A4-4192-B702-94DE699A64CC}"/>
              </c:ext>
            </c:extLst>
          </c:dPt>
          <c:dPt>
            <c:idx val="3"/>
            <c:bubble3D val="0"/>
            <c:explosion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5A4-4192-B702-94DE699A64CC}"/>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05A4-4192-B702-94DE699A64CC}"/>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5A4-4192-B702-94DE699A64CC}"/>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05A4-4192-B702-94DE699A64CC}"/>
              </c:ext>
            </c:extLst>
          </c:dPt>
          <c:dPt>
            <c:idx val="7"/>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8-05A4-4192-B702-94DE699A64CC}"/>
              </c:ext>
            </c:extLst>
          </c:dPt>
          <c:dPt>
            <c:idx val="8"/>
            <c:bubble3D val="0"/>
            <c:spPr>
              <a:solidFill>
                <a:schemeClr val="accent3">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05A4-4192-B702-94DE699A64CC}"/>
              </c:ext>
            </c:extLst>
          </c:dPt>
          <c:dPt>
            <c:idx val="9"/>
            <c:bubble3D val="0"/>
            <c:spPr>
              <a:solidFill>
                <a:schemeClr val="accent4">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05A4-4192-B702-94DE699A64CC}"/>
              </c:ext>
            </c:extLst>
          </c:dPt>
          <c:dPt>
            <c:idx val="10"/>
            <c:bubble3D val="0"/>
            <c:spPr>
              <a:solidFill>
                <a:schemeClr val="accent5">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4-35E5-4D84-A58D-078173BDC590}"/>
              </c:ext>
            </c:extLst>
          </c:dPt>
          <c:dLbls>
            <c:dLbl>
              <c:idx val="0"/>
              <c:layout>
                <c:manualLayout>
                  <c:x val="0.37024021090693582"/>
                  <c:y val="-5.512868876181351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5A4-4192-B702-94DE699A64CC}"/>
                </c:ext>
              </c:extLst>
            </c:dLbl>
            <c:dLbl>
              <c:idx val="1"/>
              <c:layout>
                <c:manualLayout>
                  <c:x val="0.19674051444533319"/>
                  <c:y val="3.017853756873549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5A4-4192-B702-94DE699A64CC}"/>
                </c:ext>
              </c:extLst>
            </c:dLbl>
            <c:dLbl>
              <c:idx val="2"/>
              <c:layout>
                <c:manualLayout>
                  <c:x val="6.8643260321560998E-2"/>
                  <c:y val="2.953384629202718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5A4-4192-B702-94DE699A64CC}"/>
                </c:ext>
              </c:extLst>
            </c:dLbl>
            <c:dLbl>
              <c:idx val="3"/>
              <c:layout>
                <c:manualLayout>
                  <c:x val="0"/>
                  <c:y val="-7.594303563765560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5A4-4192-B702-94DE699A64CC}"/>
                </c:ext>
              </c:extLst>
            </c:dLbl>
            <c:dLbl>
              <c:idx val="4"/>
              <c:layout>
                <c:manualLayout>
                  <c:x val="-9.4987509317988827E-2"/>
                  <c:y val="-6.205442950809858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5A4-4192-B702-94DE699A64CC}"/>
                </c:ext>
              </c:extLst>
            </c:dLbl>
            <c:dLbl>
              <c:idx val="5"/>
              <c:layout>
                <c:manualLayout>
                  <c:x val="-0.15824776283209183"/>
                  <c:y val="-0.10338732373282238"/>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5A4-4192-B702-94DE699A64CC}"/>
                </c:ext>
              </c:extLst>
            </c:dLbl>
            <c:dLbl>
              <c:idx val="6"/>
              <c:layout>
                <c:manualLayout>
                  <c:x val="-0.20931269088611987"/>
                  <c:y val="-0.1590495294552059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5A4-4192-B702-94DE699A64CC}"/>
                </c:ext>
              </c:extLst>
            </c:dLbl>
            <c:dLbl>
              <c:idx val="7"/>
              <c:layout>
                <c:manualLayout>
                  <c:x val="-9.8765416097110259E-2"/>
                  <c:y val="-0.1216730038022813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05A4-4192-B702-94DE699A64CC}"/>
                </c:ext>
              </c:extLst>
            </c:dLbl>
            <c:dLbl>
              <c:idx val="8"/>
              <c:layout>
                <c:manualLayout>
                  <c:x val="4.4626544080466596E-2"/>
                  <c:y val="-0.1267910142410906"/>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5A4-4192-B702-94DE699A64CC}"/>
                </c:ext>
              </c:extLst>
            </c:dLbl>
            <c:dLbl>
              <c:idx val="9"/>
              <c:layout>
                <c:manualLayout>
                  <c:x val="0.17378403587310265"/>
                  <c:y val="-0.1181281997544983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05A4-4192-B702-94DE699A64CC}"/>
                </c:ext>
              </c:extLst>
            </c:dLbl>
            <c:dLbl>
              <c:idx val="10"/>
              <c:layout>
                <c:manualLayout>
                  <c:x val="0.26269980514244434"/>
                  <c:y val="-0.120732313403790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lumMod val="60000"/>
                        </a:schemeClr>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4-35E5-4D84-A58D-078173BDC590}"/>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III_Virs_ES_ārvalstnieki_Din!$A$4:$B$14</c:f>
              <c:multiLvlStrCache>
                <c:ptCount val="11"/>
                <c:lvl>
                  <c:pt idx="0">
                    <c:v>24000000-4</c:v>
                  </c:pt>
                  <c:pt idx="1">
                    <c:v>31000000-6</c:v>
                  </c:pt>
                  <c:pt idx="2">
                    <c:v>34000000-7</c:v>
                  </c:pt>
                  <c:pt idx="3">
                    <c:v>38000000-5</c:v>
                  </c:pt>
                  <c:pt idx="4">
                    <c:v>42000000-6</c:v>
                  </c:pt>
                  <c:pt idx="5">
                    <c:v>44000000-0</c:v>
                  </c:pt>
                  <c:pt idx="6">
                    <c:v>45000000-7</c:v>
                  </c:pt>
                  <c:pt idx="7">
                    <c:v>50000000-5</c:v>
                  </c:pt>
                  <c:pt idx="8">
                    <c:v>66000000-0</c:v>
                  </c:pt>
                  <c:pt idx="9">
                    <c:v>71000000-8</c:v>
                  </c:pt>
                  <c:pt idx="10">
                    <c:v>73000000-2</c:v>
                  </c:pt>
                </c:lvl>
                <c:lvl>
                  <c:pt idx="0">
                    <c:v>Preces</c:v>
                  </c:pt>
                  <c:pt idx="6">
                    <c:v>Būvdarbi</c:v>
                  </c:pt>
                  <c:pt idx="7">
                    <c:v>Pakalpojumi</c:v>
                  </c:pt>
                </c:lvl>
              </c:multiLvlStrCache>
            </c:multiLvlStrRef>
          </c:cat>
          <c:val>
            <c:numRef>
              <c:f>III_Virs_ES_ārvalstnieki_Din!$C$4:$C$14</c:f>
              <c:numCache>
                <c:formatCode>#,##0</c:formatCode>
                <c:ptCount val="11"/>
                <c:pt idx="0">
                  <c:v>2160000</c:v>
                </c:pt>
                <c:pt idx="1">
                  <c:v>7733939</c:v>
                </c:pt>
                <c:pt idx="2">
                  <c:v>94193029</c:v>
                </c:pt>
                <c:pt idx="3">
                  <c:v>12593960</c:v>
                </c:pt>
                <c:pt idx="4">
                  <c:v>8445850</c:v>
                </c:pt>
                <c:pt idx="5">
                  <c:v>1810640</c:v>
                </c:pt>
                <c:pt idx="6">
                  <c:v>7016282</c:v>
                </c:pt>
                <c:pt idx="7" formatCode="General">
                  <c:v>547280</c:v>
                </c:pt>
                <c:pt idx="8" formatCode="General">
                  <c:v>243680</c:v>
                </c:pt>
                <c:pt idx="9" formatCode="General">
                  <c:v>974992</c:v>
                </c:pt>
                <c:pt idx="10" formatCode="General">
                  <c:v>1555959</c:v>
                </c:pt>
              </c:numCache>
            </c:numRef>
          </c:val>
          <c:extLst>
            <c:ext xmlns:c16="http://schemas.microsoft.com/office/drawing/2014/chart" uri="{C3380CC4-5D6E-409C-BE32-E72D297353CC}">
              <c16:uniqueId val="{00000000-05A4-4192-B702-94DE699A64CC}"/>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II_Dinamika_sps_skaits_kopā_sum!$A$49</c:f>
              <c:strCache>
                <c:ptCount val="1"/>
                <c:pt idx="0">
                  <c:v>Kopējais sabiedrisko pakalpojumu sniedzēju skaits</c:v>
                </c:pt>
              </c:strCache>
            </c:strRef>
          </c:tx>
          <c:spPr>
            <a:solidFill>
              <a:schemeClr val="accent2"/>
            </a:solidFill>
            <a:ln>
              <a:noFill/>
            </a:ln>
            <a:effectLst/>
          </c:spPr>
          <c:invertIfNegative val="0"/>
          <c:cat>
            <c:strRef>
              <c:f>II_Dinamika_sps_skaits_kopā_sum!$B$47:$H$47</c:f>
              <c:strCache>
                <c:ptCount val="7"/>
                <c:pt idx="0">
                  <c:v>2010.gads</c:v>
                </c:pt>
                <c:pt idx="1">
                  <c:v>2011.gads</c:v>
                </c:pt>
                <c:pt idx="2">
                  <c:v>2012.gads</c:v>
                </c:pt>
                <c:pt idx="3">
                  <c:v>2013.gads</c:v>
                </c:pt>
                <c:pt idx="4">
                  <c:v>2014.gads</c:v>
                </c:pt>
                <c:pt idx="5">
                  <c:v>2015.gads</c:v>
                </c:pt>
                <c:pt idx="6">
                  <c:v>2016.gads</c:v>
                </c:pt>
              </c:strCache>
            </c:strRef>
          </c:cat>
          <c:val>
            <c:numRef>
              <c:f>II_Dinamika_sps_skaits_kopā_sum!$B$49:$H$49</c:f>
              <c:numCache>
                <c:formatCode>General</c:formatCode>
                <c:ptCount val="7"/>
                <c:pt idx="0">
                  <c:v>247</c:v>
                </c:pt>
                <c:pt idx="1">
                  <c:v>228</c:v>
                </c:pt>
                <c:pt idx="2">
                  <c:v>240</c:v>
                </c:pt>
                <c:pt idx="3">
                  <c:v>238</c:v>
                </c:pt>
                <c:pt idx="4">
                  <c:v>221</c:v>
                </c:pt>
                <c:pt idx="5">
                  <c:v>235</c:v>
                </c:pt>
                <c:pt idx="6">
                  <c:v>228</c:v>
                </c:pt>
              </c:numCache>
            </c:numRef>
          </c:val>
          <c:extLst>
            <c:ext xmlns:c16="http://schemas.microsoft.com/office/drawing/2014/chart" uri="{C3380CC4-5D6E-409C-BE32-E72D297353CC}">
              <c16:uniqueId val="{00000001-C073-4D66-AA24-D0B4E608A181}"/>
            </c:ext>
          </c:extLst>
        </c:ser>
        <c:dLbls>
          <c:showLegendKey val="0"/>
          <c:showVal val="0"/>
          <c:showCatName val="0"/>
          <c:showSerName val="0"/>
          <c:showPercent val="0"/>
          <c:showBubbleSize val="0"/>
        </c:dLbls>
        <c:gapWidth val="219"/>
        <c:axId val="477074104"/>
        <c:axId val="477071480"/>
      </c:barChart>
      <c:lineChart>
        <c:grouping val="standard"/>
        <c:varyColors val="0"/>
        <c:ser>
          <c:idx val="0"/>
          <c:order val="0"/>
          <c:tx>
            <c:strRef>
              <c:f>II_Dinamika_sps_skaits_kopā_sum!$A$48</c:f>
              <c:strCache>
                <c:ptCount val="1"/>
                <c:pt idx="0">
                  <c:v>Īpatsvars %</c:v>
                </c:pt>
              </c:strCache>
            </c:strRef>
          </c:tx>
          <c:spPr>
            <a:ln w="28575" cap="rnd">
              <a:solidFill>
                <a:schemeClr val="accent1"/>
              </a:solidFill>
              <a:round/>
            </a:ln>
            <a:effectLst/>
          </c:spPr>
          <c:marker>
            <c:symbol val="none"/>
          </c:marker>
          <c:cat>
            <c:strRef>
              <c:f>II_Dinamika_sps_skaits_kopā_sum!$B$47:$H$47</c:f>
              <c:strCache>
                <c:ptCount val="7"/>
                <c:pt idx="0">
                  <c:v>2010.gads</c:v>
                </c:pt>
                <c:pt idx="1">
                  <c:v>2011.gads</c:v>
                </c:pt>
                <c:pt idx="2">
                  <c:v>2012.gads</c:v>
                </c:pt>
                <c:pt idx="3">
                  <c:v>2013.gads</c:v>
                </c:pt>
                <c:pt idx="4">
                  <c:v>2014.gads</c:v>
                </c:pt>
                <c:pt idx="5">
                  <c:v>2015.gads</c:v>
                </c:pt>
                <c:pt idx="6">
                  <c:v>2016.gads</c:v>
                </c:pt>
              </c:strCache>
            </c:strRef>
          </c:cat>
          <c:val>
            <c:numRef>
              <c:f>II_Dinamika_sps_skaits_kopā_sum!$B$48:$H$48</c:f>
              <c:numCache>
                <c:formatCode>0.0%</c:formatCode>
                <c:ptCount val="7"/>
                <c:pt idx="0">
                  <c:v>0.10121457489878542</c:v>
                </c:pt>
                <c:pt idx="1">
                  <c:v>0.11842105263157894</c:v>
                </c:pt>
                <c:pt idx="2">
                  <c:v>0.11666666666666667</c:v>
                </c:pt>
                <c:pt idx="3">
                  <c:v>0.12605042016806722</c:v>
                </c:pt>
                <c:pt idx="4">
                  <c:v>0.12669683257918551</c:v>
                </c:pt>
                <c:pt idx="5">
                  <c:v>9.3617021276595741E-2</c:v>
                </c:pt>
                <c:pt idx="6">
                  <c:v>9.6491228070175433E-2</c:v>
                </c:pt>
              </c:numCache>
            </c:numRef>
          </c:val>
          <c:smooth val="0"/>
          <c:extLst>
            <c:ext xmlns:c16="http://schemas.microsoft.com/office/drawing/2014/chart" uri="{C3380CC4-5D6E-409C-BE32-E72D297353CC}">
              <c16:uniqueId val="{00000000-C073-4D66-AA24-D0B4E608A181}"/>
            </c:ext>
          </c:extLst>
        </c:ser>
        <c:dLbls>
          <c:showLegendKey val="0"/>
          <c:showVal val="0"/>
          <c:showCatName val="0"/>
          <c:showSerName val="0"/>
          <c:showPercent val="0"/>
          <c:showBubbleSize val="0"/>
        </c:dLbls>
        <c:marker val="1"/>
        <c:smooth val="0"/>
        <c:axId val="477091160"/>
        <c:axId val="477088208"/>
      </c:lineChart>
      <c:catAx>
        <c:axId val="477091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7088208"/>
        <c:crosses val="autoZero"/>
        <c:auto val="1"/>
        <c:lblAlgn val="ctr"/>
        <c:lblOffset val="100"/>
        <c:noMultiLvlLbl val="0"/>
      </c:catAx>
      <c:valAx>
        <c:axId val="4770882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7091160"/>
        <c:crosses val="autoZero"/>
        <c:crossBetween val="between"/>
      </c:valAx>
      <c:valAx>
        <c:axId val="4770714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7074104"/>
        <c:crosses val="max"/>
        <c:crossBetween val="between"/>
      </c:valAx>
      <c:catAx>
        <c:axId val="477074104"/>
        <c:scaling>
          <c:orientation val="minMax"/>
        </c:scaling>
        <c:delete val="1"/>
        <c:axPos val="b"/>
        <c:numFmt formatCode="General" sourceLinked="1"/>
        <c:majorTickMark val="out"/>
        <c:minorTickMark val="none"/>
        <c:tickLblPos val="nextTo"/>
        <c:crossAx val="477071480"/>
        <c:crosses val="autoZero"/>
        <c:auto val="1"/>
        <c:lblAlgn val="ctr"/>
        <c:lblOffset val="100"/>
        <c:noMultiLvlLbl val="0"/>
      </c:catAx>
      <c:spPr>
        <a:noFill/>
        <a:ln>
          <a:noFill/>
        </a:ln>
        <a:effectLst/>
      </c:spPr>
    </c:plotArea>
    <c:legend>
      <c:legendPos val="b"/>
      <c:layout>
        <c:manualLayout>
          <c:xMode val="edge"/>
          <c:yMode val="edge"/>
          <c:x val="0"/>
          <c:y val="0.92320765365080215"/>
          <c:w val="0.72017422615561488"/>
          <c:h val="7.67922981959270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III_Virs_ES_ārvalstnieki_Din!$B$84</c:f>
              <c:strCache>
                <c:ptCount val="1"/>
                <c:pt idx="0">
                  <c:v>Vietējie (% no kopējās līgumu summas)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III_Virs_ES_ārvalstnieki_Din!$A$85:$A$91</c:f>
              <c:strCache>
                <c:ptCount val="7"/>
                <c:pt idx="0">
                  <c:v>2010.gads</c:v>
                </c:pt>
                <c:pt idx="1">
                  <c:v>2011.gads</c:v>
                </c:pt>
                <c:pt idx="2">
                  <c:v>2012.gads</c:v>
                </c:pt>
                <c:pt idx="3">
                  <c:v>2013.gads</c:v>
                </c:pt>
                <c:pt idx="4">
                  <c:v>2014.gads</c:v>
                </c:pt>
                <c:pt idx="5">
                  <c:v>2015.gads</c:v>
                </c:pt>
                <c:pt idx="6">
                  <c:v>2016.gads</c:v>
                </c:pt>
              </c:strCache>
            </c:strRef>
          </c:cat>
          <c:val>
            <c:numRef>
              <c:f>III_Virs_ES_ārvalstnieki_Din!$B$85:$B$91</c:f>
              <c:numCache>
                <c:formatCode>0.0%</c:formatCode>
                <c:ptCount val="7"/>
                <c:pt idx="0">
                  <c:v>0.39400000000000002</c:v>
                </c:pt>
                <c:pt idx="1">
                  <c:v>0.81599999999999995</c:v>
                </c:pt>
                <c:pt idx="2">
                  <c:v>0.52600000000000002</c:v>
                </c:pt>
                <c:pt idx="3">
                  <c:v>0.629</c:v>
                </c:pt>
                <c:pt idx="4">
                  <c:v>0.78</c:v>
                </c:pt>
                <c:pt idx="5">
                  <c:v>0.57899999999999996</c:v>
                </c:pt>
                <c:pt idx="6">
                  <c:v>0.78799999999999992</c:v>
                </c:pt>
              </c:numCache>
            </c:numRef>
          </c:val>
          <c:extLst>
            <c:ext xmlns:c16="http://schemas.microsoft.com/office/drawing/2014/chart" uri="{C3380CC4-5D6E-409C-BE32-E72D297353CC}">
              <c16:uniqueId val="{00000000-0C59-4EF7-BFF5-E717C3172441}"/>
            </c:ext>
          </c:extLst>
        </c:ser>
        <c:ser>
          <c:idx val="1"/>
          <c:order val="1"/>
          <c:tx>
            <c:strRef>
              <c:f>III_Virs_ES_ārvalstnieki_Din!$C$84</c:f>
              <c:strCache>
                <c:ptCount val="1"/>
                <c:pt idx="0">
                  <c:v>Citas valstis (% no kopējās līgumu summas)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III_Virs_ES_ārvalstnieki_Din!$A$85:$A$91</c:f>
              <c:strCache>
                <c:ptCount val="7"/>
                <c:pt idx="0">
                  <c:v>2010.gads</c:v>
                </c:pt>
                <c:pt idx="1">
                  <c:v>2011.gads</c:v>
                </c:pt>
                <c:pt idx="2">
                  <c:v>2012.gads</c:v>
                </c:pt>
                <c:pt idx="3">
                  <c:v>2013.gads</c:v>
                </c:pt>
                <c:pt idx="4">
                  <c:v>2014.gads</c:v>
                </c:pt>
                <c:pt idx="5">
                  <c:v>2015.gads</c:v>
                </c:pt>
                <c:pt idx="6">
                  <c:v>2016.gads</c:v>
                </c:pt>
              </c:strCache>
            </c:strRef>
          </c:cat>
          <c:val>
            <c:numRef>
              <c:f>III_Virs_ES_ārvalstnieki_Din!$C$85:$C$91</c:f>
              <c:numCache>
                <c:formatCode>0.0%</c:formatCode>
                <c:ptCount val="7"/>
                <c:pt idx="0">
                  <c:v>0.60599999999999998</c:v>
                </c:pt>
                <c:pt idx="1">
                  <c:v>0.184</c:v>
                </c:pt>
                <c:pt idx="2">
                  <c:v>0.47399999999999998</c:v>
                </c:pt>
                <c:pt idx="3">
                  <c:v>0.371</c:v>
                </c:pt>
                <c:pt idx="4">
                  <c:v>0.22</c:v>
                </c:pt>
                <c:pt idx="5">
                  <c:v>0.42099999999999999</c:v>
                </c:pt>
                <c:pt idx="6">
                  <c:v>0.21199999999999999</c:v>
                </c:pt>
              </c:numCache>
            </c:numRef>
          </c:val>
          <c:extLst>
            <c:ext xmlns:c16="http://schemas.microsoft.com/office/drawing/2014/chart" uri="{C3380CC4-5D6E-409C-BE32-E72D297353CC}">
              <c16:uniqueId val="{00000001-0C59-4EF7-BFF5-E717C3172441}"/>
            </c:ext>
          </c:extLst>
        </c:ser>
        <c:dLbls>
          <c:showLegendKey val="0"/>
          <c:showVal val="0"/>
          <c:showCatName val="0"/>
          <c:showSerName val="0"/>
          <c:showPercent val="0"/>
          <c:showBubbleSize val="0"/>
        </c:dLbls>
        <c:gapWidth val="219"/>
        <c:overlap val="-27"/>
        <c:axId val="386353640"/>
        <c:axId val="386347080"/>
      </c:barChart>
      <c:lineChart>
        <c:grouping val="standard"/>
        <c:varyColors val="0"/>
        <c:ser>
          <c:idx val="2"/>
          <c:order val="2"/>
          <c:tx>
            <c:strRef>
              <c:f>III_Virs_ES_ārvalstnieki_Din!$D$84</c:f>
              <c:strCache>
                <c:ptCount val="1"/>
                <c:pt idx="0">
                  <c:v>Vietējie (% no kopējā līgumu skaita)</c:v>
                </c:pt>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III_Virs_ES_ārvalstnieki_Din!$A$85:$A$91</c:f>
              <c:strCache>
                <c:ptCount val="7"/>
                <c:pt idx="0">
                  <c:v>2010.gads</c:v>
                </c:pt>
                <c:pt idx="1">
                  <c:v>2011.gads</c:v>
                </c:pt>
                <c:pt idx="2">
                  <c:v>2012.gads</c:v>
                </c:pt>
                <c:pt idx="3">
                  <c:v>2013.gads</c:v>
                </c:pt>
                <c:pt idx="4">
                  <c:v>2014.gads</c:v>
                </c:pt>
                <c:pt idx="5">
                  <c:v>2015.gads</c:v>
                </c:pt>
                <c:pt idx="6">
                  <c:v>2016.gads</c:v>
                </c:pt>
              </c:strCache>
            </c:strRef>
          </c:cat>
          <c:val>
            <c:numRef>
              <c:f>III_Virs_ES_ārvalstnieki_Din!$D$85:$D$91</c:f>
              <c:numCache>
                <c:formatCode>0.0%</c:formatCode>
                <c:ptCount val="7"/>
                <c:pt idx="0">
                  <c:v>0.76100000000000001</c:v>
                </c:pt>
                <c:pt idx="1">
                  <c:v>0.873</c:v>
                </c:pt>
                <c:pt idx="2">
                  <c:v>0.81799999999999995</c:v>
                </c:pt>
                <c:pt idx="3">
                  <c:v>0.90800000000000003</c:v>
                </c:pt>
                <c:pt idx="4">
                  <c:v>0.79600000000000004</c:v>
                </c:pt>
                <c:pt idx="5">
                  <c:v>0.84599999999999997</c:v>
                </c:pt>
                <c:pt idx="6">
                  <c:v>0.79500000000000004</c:v>
                </c:pt>
              </c:numCache>
            </c:numRef>
          </c:val>
          <c:smooth val="0"/>
          <c:extLst>
            <c:ext xmlns:c16="http://schemas.microsoft.com/office/drawing/2014/chart" uri="{C3380CC4-5D6E-409C-BE32-E72D297353CC}">
              <c16:uniqueId val="{00000002-0C59-4EF7-BFF5-E717C3172441}"/>
            </c:ext>
          </c:extLst>
        </c:ser>
        <c:ser>
          <c:idx val="3"/>
          <c:order val="3"/>
          <c:tx>
            <c:strRef>
              <c:f>III_Virs_ES_ārvalstnieki_Din!$E$84</c:f>
              <c:strCache>
                <c:ptCount val="1"/>
                <c:pt idx="0">
                  <c:v>Citas valstis (% no kopējās līgumu skaita)</c:v>
                </c:pt>
              </c:strCache>
            </c:strRef>
          </c:tx>
          <c:spPr>
            <a:ln w="28575" cap="rnd">
              <a:solidFill>
                <a:schemeClr val="accent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III_Virs_ES_ārvalstnieki_Din!$A$85:$A$91</c:f>
              <c:strCache>
                <c:ptCount val="7"/>
                <c:pt idx="0">
                  <c:v>2010.gads</c:v>
                </c:pt>
                <c:pt idx="1">
                  <c:v>2011.gads</c:v>
                </c:pt>
                <c:pt idx="2">
                  <c:v>2012.gads</c:v>
                </c:pt>
                <c:pt idx="3">
                  <c:v>2013.gads</c:v>
                </c:pt>
                <c:pt idx="4">
                  <c:v>2014.gads</c:v>
                </c:pt>
                <c:pt idx="5">
                  <c:v>2015.gads</c:v>
                </c:pt>
                <c:pt idx="6">
                  <c:v>2016.gads</c:v>
                </c:pt>
              </c:strCache>
            </c:strRef>
          </c:cat>
          <c:val>
            <c:numRef>
              <c:f>III_Virs_ES_ārvalstnieki_Din!$E$85:$E$91</c:f>
              <c:numCache>
                <c:formatCode>0.0%</c:formatCode>
                <c:ptCount val="7"/>
                <c:pt idx="0">
                  <c:v>0.23899999999999999</c:v>
                </c:pt>
                <c:pt idx="1">
                  <c:v>0.127</c:v>
                </c:pt>
                <c:pt idx="2">
                  <c:v>0.182</c:v>
                </c:pt>
                <c:pt idx="3">
                  <c:v>9.1999999999999998E-2</c:v>
                </c:pt>
                <c:pt idx="4">
                  <c:v>0.20399999999999999</c:v>
                </c:pt>
                <c:pt idx="5">
                  <c:v>0.154</c:v>
                </c:pt>
                <c:pt idx="6">
                  <c:v>0.20600000000000002</c:v>
                </c:pt>
              </c:numCache>
            </c:numRef>
          </c:val>
          <c:smooth val="0"/>
          <c:extLst>
            <c:ext xmlns:c16="http://schemas.microsoft.com/office/drawing/2014/chart" uri="{C3380CC4-5D6E-409C-BE32-E72D297353CC}">
              <c16:uniqueId val="{00000003-0C59-4EF7-BFF5-E717C3172441}"/>
            </c:ext>
          </c:extLst>
        </c:ser>
        <c:dLbls>
          <c:showLegendKey val="0"/>
          <c:showVal val="0"/>
          <c:showCatName val="0"/>
          <c:showSerName val="0"/>
          <c:showPercent val="0"/>
          <c:showBubbleSize val="0"/>
        </c:dLbls>
        <c:marker val="1"/>
        <c:smooth val="0"/>
        <c:axId val="386357904"/>
        <c:axId val="386356920"/>
      </c:lineChart>
      <c:catAx>
        <c:axId val="386353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6347080"/>
        <c:crosses val="autoZero"/>
        <c:auto val="1"/>
        <c:lblAlgn val="ctr"/>
        <c:lblOffset val="100"/>
        <c:noMultiLvlLbl val="0"/>
      </c:catAx>
      <c:valAx>
        <c:axId val="3863470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6353640"/>
        <c:crosses val="autoZero"/>
        <c:crossBetween val="between"/>
      </c:valAx>
      <c:valAx>
        <c:axId val="386356920"/>
        <c:scaling>
          <c:orientation val="minMax"/>
        </c:scaling>
        <c:delete val="1"/>
        <c:axPos val="r"/>
        <c:numFmt formatCode="0.0%" sourceLinked="1"/>
        <c:majorTickMark val="out"/>
        <c:minorTickMark val="none"/>
        <c:tickLblPos val="nextTo"/>
        <c:crossAx val="386357904"/>
        <c:crosses val="max"/>
        <c:crossBetween val="between"/>
      </c:valAx>
      <c:catAx>
        <c:axId val="386357904"/>
        <c:scaling>
          <c:orientation val="minMax"/>
        </c:scaling>
        <c:delete val="1"/>
        <c:axPos val="b"/>
        <c:numFmt formatCode="General" sourceLinked="1"/>
        <c:majorTickMark val="out"/>
        <c:minorTickMark val="none"/>
        <c:tickLblPos val="nextTo"/>
        <c:crossAx val="38635692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9795052214216E-2"/>
          <c:y val="4.7619047619047616E-2"/>
          <c:w val="0.86679159785877824"/>
          <c:h val="0.78250228232340524"/>
        </c:manualLayout>
      </c:layout>
      <c:barChart>
        <c:barDir val="col"/>
        <c:grouping val="clustered"/>
        <c:varyColors val="0"/>
        <c:ser>
          <c:idx val="0"/>
          <c:order val="0"/>
          <c:tx>
            <c:strRef>
              <c:f>III_Virs_ES_ārvalstnieki_Din!$B$102</c:f>
              <c:strCache>
                <c:ptCount val="1"/>
                <c:pt idx="0">
                  <c:v>Līgumu skaits</c:v>
                </c:pt>
              </c:strCache>
            </c:strRef>
          </c:tx>
          <c:spPr>
            <a:solidFill>
              <a:schemeClr val="accent1"/>
            </a:solidFill>
            <a:ln>
              <a:noFill/>
            </a:ln>
            <a:effectLst/>
          </c:spPr>
          <c:invertIfNegative val="0"/>
          <c:dLbls>
            <c:dLbl>
              <c:idx val="0"/>
              <c:layout>
                <c:manualLayout>
                  <c:x val="0"/>
                  <c:y val="7.035979391746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0FA-4B75-A08C-33A398CD09BB}"/>
                </c:ext>
              </c:extLst>
            </c:dLbl>
            <c:dLbl>
              <c:idx val="1"/>
              <c:layout>
                <c:manualLayout>
                  <c:x val="-2.0263424518743669E-3"/>
                  <c:y val="1.863104591353974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0FA-4B75-A08C-33A398CD09BB}"/>
                </c:ext>
              </c:extLst>
            </c:dLbl>
            <c:dLbl>
              <c:idx val="2"/>
              <c:layout>
                <c:manualLayout>
                  <c:x val="-1.4184397163120567E-2"/>
                  <c:y val="1.73160173160172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0FA-4B75-A08C-33A398CD09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III_Virs_ES_ārvalstnieki_Din!$A$103:$A$105</c:f>
              <c:strCache>
                <c:ptCount val="3"/>
                <c:pt idx="0">
                  <c:v>Latvija</c:v>
                </c:pt>
                <c:pt idx="1">
                  <c:v>Citas Eiropas Savienības valstis</c:v>
                </c:pt>
                <c:pt idx="2">
                  <c:v>Citas valstis</c:v>
                </c:pt>
              </c:strCache>
            </c:strRef>
          </c:cat>
          <c:val>
            <c:numRef>
              <c:f>III_Virs_ES_ārvalstnieki_Din!$B$103:$B$105</c:f>
              <c:numCache>
                <c:formatCode>General</c:formatCode>
                <c:ptCount val="3"/>
                <c:pt idx="0">
                  <c:v>116</c:v>
                </c:pt>
                <c:pt idx="1">
                  <c:v>29</c:v>
                </c:pt>
                <c:pt idx="2">
                  <c:v>1</c:v>
                </c:pt>
              </c:numCache>
            </c:numRef>
          </c:val>
          <c:extLst>
            <c:ext xmlns:c16="http://schemas.microsoft.com/office/drawing/2014/chart" uri="{C3380CC4-5D6E-409C-BE32-E72D297353CC}">
              <c16:uniqueId val="{00000000-10FA-4B75-A08C-33A398CD09BB}"/>
            </c:ext>
          </c:extLst>
        </c:ser>
        <c:ser>
          <c:idx val="2"/>
          <c:order val="2"/>
          <c:tx>
            <c:strRef>
              <c:f>III_Virs_ES_ārvalstnieki_Din!$D$102</c:f>
              <c:strCache>
                <c:ptCount val="1"/>
                <c:pt idx="0">
                  <c:v>Noslēgto līgumu summa, milj.EUR</c:v>
                </c:pt>
              </c:strCache>
            </c:strRef>
          </c:tx>
          <c:spPr>
            <a:solidFill>
              <a:schemeClr val="accent3"/>
            </a:solidFill>
            <a:ln>
              <a:noFill/>
            </a:ln>
            <a:effectLst/>
          </c:spPr>
          <c:invertIfNegative val="0"/>
          <c:dLbls>
            <c:dLbl>
              <c:idx val="0"/>
              <c:layout>
                <c:manualLayout>
                  <c:x val="2.4316109422492363E-2"/>
                  <c:y val="3.37552652898063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953-4EAA-93FE-C5F88D4DCD0F}"/>
                </c:ext>
              </c:extLst>
            </c:dLbl>
            <c:dLbl>
              <c:idx val="2"/>
              <c:layout>
                <c:manualLayout>
                  <c:x val="1.0131712259371834E-2"/>
                  <c:y val="1.731601731601731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0FA-4B75-A08C-33A398CD09BB}"/>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III_Virs_ES_ārvalstnieki_Din!$A$103:$A$105</c:f>
              <c:strCache>
                <c:ptCount val="3"/>
                <c:pt idx="0">
                  <c:v>Latvija</c:v>
                </c:pt>
                <c:pt idx="1">
                  <c:v>Citas Eiropas Savienības valstis</c:v>
                </c:pt>
                <c:pt idx="2">
                  <c:v>Citas valstis</c:v>
                </c:pt>
              </c:strCache>
            </c:strRef>
          </c:cat>
          <c:val>
            <c:numRef>
              <c:f>III_Virs_ES_ārvalstnieki_Din!$D$103:$D$105</c:f>
              <c:numCache>
                <c:formatCode>General</c:formatCode>
                <c:ptCount val="3"/>
                <c:pt idx="0">
                  <c:v>511.3</c:v>
                </c:pt>
                <c:pt idx="1">
                  <c:v>137.30000000000001</c:v>
                </c:pt>
                <c:pt idx="2">
                  <c:v>0.02</c:v>
                </c:pt>
              </c:numCache>
            </c:numRef>
          </c:val>
          <c:extLst>
            <c:ext xmlns:c16="http://schemas.microsoft.com/office/drawing/2014/chart" uri="{C3380CC4-5D6E-409C-BE32-E72D297353CC}">
              <c16:uniqueId val="{00000002-10FA-4B75-A08C-33A398CD09BB}"/>
            </c:ext>
          </c:extLst>
        </c:ser>
        <c:dLbls>
          <c:showLegendKey val="0"/>
          <c:showVal val="0"/>
          <c:showCatName val="0"/>
          <c:showSerName val="0"/>
          <c:showPercent val="0"/>
          <c:showBubbleSize val="0"/>
        </c:dLbls>
        <c:gapWidth val="219"/>
        <c:axId val="499021856"/>
        <c:axId val="499021528"/>
      </c:barChart>
      <c:lineChart>
        <c:grouping val="standard"/>
        <c:varyColors val="0"/>
        <c:ser>
          <c:idx val="1"/>
          <c:order val="1"/>
          <c:tx>
            <c:strRef>
              <c:f>III_Virs_ES_ārvalstnieki_Din!$C$102</c:f>
              <c:strCache>
                <c:ptCount val="1"/>
                <c:pt idx="0">
                  <c:v>Līgumu skaita īpatsvars (%)</c:v>
                </c:pt>
              </c:strCache>
            </c:strRef>
          </c:tx>
          <c:spPr>
            <a:ln w="28575" cap="rnd">
              <a:solidFill>
                <a:schemeClr val="accent2"/>
              </a:solidFill>
              <a:round/>
            </a:ln>
            <a:effectLst/>
          </c:spPr>
          <c:marker>
            <c:symbol val="none"/>
          </c:marker>
          <c:dLbls>
            <c:dLbl>
              <c:idx val="0"/>
              <c:layout>
                <c:manualLayout>
                  <c:x val="1.6859169199594695E-2"/>
                  <c:y val="-5.840917612571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FA-4B75-A08C-33A398CD09BB}"/>
                </c:ext>
              </c:extLst>
            </c:dLbl>
            <c:dLbl>
              <c:idx val="1"/>
              <c:layout>
                <c:manualLayout>
                  <c:x val="1.8885511651469098E-2"/>
                  <c:y val="-0.1643655498546663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0FA-4B75-A08C-33A398CD09BB}"/>
                </c:ext>
              </c:extLst>
            </c:dLbl>
            <c:dLbl>
              <c:idx val="2"/>
              <c:layout>
                <c:manualLayout>
                  <c:x val="-4.5390070921985819E-2"/>
                  <c:y val="-0.1449892627057982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0FA-4B75-A08C-33A398CD09BB}"/>
                </c:ext>
              </c:extLst>
            </c:dLbl>
            <c:spPr>
              <a:solidFill>
                <a:schemeClr val="accent2">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III_Virs_ES_ārvalstnieki_Din!$A$103:$A$105</c:f>
              <c:strCache>
                <c:ptCount val="3"/>
                <c:pt idx="0">
                  <c:v>Latvija</c:v>
                </c:pt>
                <c:pt idx="1">
                  <c:v>Citas Eiropas Savienības valstis</c:v>
                </c:pt>
                <c:pt idx="2">
                  <c:v>Citas valstis</c:v>
                </c:pt>
              </c:strCache>
            </c:strRef>
          </c:cat>
          <c:val>
            <c:numRef>
              <c:f>III_Virs_ES_ārvalstnieki_Din!$C$103:$C$105</c:f>
              <c:numCache>
                <c:formatCode>0.0%</c:formatCode>
                <c:ptCount val="3"/>
                <c:pt idx="0">
                  <c:v>0.79500000000000004</c:v>
                </c:pt>
                <c:pt idx="1">
                  <c:v>0.19900000000000001</c:v>
                </c:pt>
                <c:pt idx="2">
                  <c:v>7.0000000000000001E-3</c:v>
                </c:pt>
              </c:numCache>
            </c:numRef>
          </c:val>
          <c:smooth val="0"/>
          <c:extLst>
            <c:ext xmlns:c16="http://schemas.microsoft.com/office/drawing/2014/chart" uri="{C3380CC4-5D6E-409C-BE32-E72D297353CC}">
              <c16:uniqueId val="{00000001-10FA-4B75-A08C-33A398CD09BB}"/>
            </c:ext>
          </c:extLst>
        </c:ser>
        <c:ser>
          <c:idx val="3"/>
          <c:order val="3"/>
          <c:tx>
            <c:strRef>
              <c:f>III_Virs_ES_ārvalstnieki_Din!$E$102</c:f>
              <c:strCache>
                <c:ptCount val="1"/>
                <c:pt idx="0">
                  <c:v>Noslēgto līgumu summu īpatsvars (%)</c:v>
                </c:pt>
              </c:strCache>
            </c:strRef>
          </c:tx>
          <c:spPr>
            <a:ln w="28575" cap="rnd">
              <a:solidFill>
                <a:schemeClr val="accent4"/>
              </a:solidFill>
              <a:round/>
            </a:ln>
            <a:effectLst/>
          </c:spPr>
          <c:marker>
            <c:symbol val="none"/>
          </c:marker>
          <c:dPt>
            <c:idx val="1"/>
            <c:marker>
              <c:symbol val="none"/>
            </c:marker>
            <c:bubble3D val="0"/>
            <c:spPr>
              <a:ln w="28575" cap="rnd">
                <a:solidFill>
                  <a:schemeClr val="accent4"/>
                </a:solidFill>
                <a:round/>
              </a:ln>
              <a:effectLst/>
            </c:spPr>
            <c:extLst>
              <c:ext xmlns:c16="http://schemas.microsoft.com/office/drawing/2014/chart" uri="{C3380CC4-5D6E-409C-BE32-E72D297353CC}">
                <c16:uniqueId val="{00000007-10FA-4B75-A08C-33A398CD09BB}"/>
              </c:ext>
            </c:extLst>
          </c:dPt>
          <c:dPt>
            <c:idx val="2"/>
            <c:marker>
              <c:symbol val="none"/>
            </c:marker>
            <c:bubble3D val="0"/>
            <c:spPr>
              <a:ln w="28575" cap="rnd">
                <a:solidFill>
                  <a:schemeClr val="accent4"/>
                </a:solidFill>
                <a:round/>
              </a:ln>
              <a:effectLst/>
            </c:spPr>
            <c:extLst>
              <c:ext xmlns:c16="http://schemas.microsoft.com/office/drawing/2014/chart" uri="{C3380CC4-5D6E-409C-BE32-E72D297353CC}">
                <c16:uniqueId val="{0000000B-10FA-4B75-A08C-33A398CD09BB}"/>
              </c:ext>
            </c:extLst>
          </c:dPt>
          <c:dLbls>
            <c:dLbl>
              <c:idx val="0"/>
              <c:layout>
                <c:manualLayout>
                  <c:x val="-0.1148530901722391"/>
                  <c:y val="-2.19156724367793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53-4EAA-93FE-C5F88D4DCD0F}"/>
                </c:ext>
              </c:extLst>
            </c:dLbl>
            <c:dLbl>
              <c:idx val="1"/>
              <c:layout>
                <c:manualLayout>
                  <c:x val="-5.2036474164133741E-2"/>
                  <c:y val="-6.27381804547159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0FA-4B75-A08C-33A398CD09BB}"/>
                </c:ext>
              </c:extLst>
            </c:dLbl>
            <c:dLbl>
              <c:idx val="2"/>
              <c:layout>
                <c:manualLayout>
                  <c:x val="4.9848024316109421E-2"/>
                  <c:y val="-8.8712206428741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0FA-4B75-A08C-33A398CD09BB}"/>
                </c:ext>
              </c:extLst>
            </c:dLbl>
            <c:spPr>
              <a:solidFill>
                <a:schemeClr val="accent4">
                  <a:lumMod val="40000"/>
                  <a:lumOff val="6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III_Virs_ES_ārvalstnieki_Din!$A$103:$A$105</c:f>
              <c:strCache>
                <c:ptCount val="3"/>
                <c:pt idx="0">
                  <c:v>Latvija</c:v>
                </c:pt>
                <c:pt idx="1">
                  <c:v>Citas Eiropas Savienības valstis</c:v>
                </c:pt>
                <c:pt idx="2">
                  <c:v>Citas valstis</c:v>
                </c:pt>
              </c:strCache>
            </c:strRef>
          </c:cat>
          <c:val>
            <c:numRef>
              <c:f>III_Virs_ES_ārvalstnieki_Din!$E$103:$E$105</c:f>
              <c:numCache>
                <c:formatCode>0.0%</c:formatCode>
                <c:ptCount val="3"/>
                <c:pt idx="0">
                  <c:v>0.78800000000000003</c:v>
                </c:pt>
                <c:pt idx="1">
                  <c:v>0.21199999999999999</c:v>
                </c:pt>
                <c:pt idx="2" formatCode="0.000%">
                  <c:v>4.0000000000000003E-5</c:v>
                </c:pt>
              </c:numCache>
            </c:numRef>
          </c:val>
          <c:smooth val="0"/>
          <c:extLst>
            <c:ext xmlns:c16="http://schemas.microsoft.com/office/drawing/2014/chart" uri="{C3380CC4-5D6E-409C-BE32-E72D297353CC}">
              <c16:uniqueId val="{00000004-10FA-4B75-A08C-33A398CD09BB}"/>
            </c:ext>
          </c:extLst>
        </c:ser>
        <c:dLbls>
          <c:showLegendKey val="0"/>
          <c:showVal val="0"/>
          <c:showCatName val="0"/>
          <c:showSerName val="0"/>
          <c:showPercent val="0"/>
          <c:showBubbleSize val="0"/>
        </c:dLbls>
        <c:marker val="1"/>
        <c:smooth val="0"/>
        <c:axId val="499025792"/>
        <c:axId val="499020216"/>
      </c:lineChart>
      <c:catAx>
        <c:axId val="49902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9021528"/>
        <c:crosses val="autoZero"/>
        <c:auto val="1"/>
        <c:lblAlgn val="ctr"/>
        <c:lblOffset val="100"/>
        <c:noMultiLvlLbl val="0"/>
      </c:catAx>
      <c:valAx>
        <c:axId val="4990215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9021856"/>
        <c:crosses val="autoZero"/>
        <c:crossBetween val="between"/>
      </c:valAx>
      <c:valAx>
        <c:axId val="499020216"/>
        <c:scaling>
          <c:orientation val="minMax"/>
        </c:scaling>
        <c:delete val="0"/>
        <c:axPos val="r"/>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9025792"/>
        <c:crosses val="max"/>
        <c:crossBetween val="between"/>
      </c:valAx>
      <c:catAx>
        <c:axId val="499025792"/>
        <c:scaling>
          <c:orientation val="minMax"/>
        </c:scaling>
        <c:delete val="1"/>
        <c:axPos val="b"/>
        <c:numFmt formatCode="General" sourceLinked="1"/>
        <c:majorTickMark val="none"/>
        <c:minorTickMark val="none"/>
        <c:tickLblPos val="nextTo"/>
        <c:crossAx val="4990202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multiLvlStrRef>
              <c:f>III_Virs_ES_ārvalstnieki_Din!$A$42:$B$67</c:f>
              <c:multiLvlStrCache>
                <c:ptCount val="26"/>
                <c:lvl>
                  <c:pt idx="0">
                    <c:v>45252124-3</c:v>
                  </c:pt>
                  <c:pt idx="1">
                    <c:v>24000000-4</c:v>
                  </c:pt>
                  <c:pt idx="2">
                    <c:v>66113000-5</c:v>
                  </c:pt>
                  <c:pt idx="3">
                    <c:v>31213200-4</c:v>
                  </c:pt>
                  <c:pt idx="4">
                    <c:v>31174000-6</c:v>
                  </c:pt>
                  <c:pt idx="5">
                    <c:v>34121100-2</c:v>
                  </c:pt>
                  <c:pt idx="6">
                    <c:v>34946000-0</c:v>
                  </c:pt>
                  <c:pt idx="7">
                    <c:v>38550000-5</c:v>
                  </c:pt>
                  <c:pt idx="8">
                    <c:v>42997200-3</c:v>
                  </c:pt>
                  <c:pt idx="9">
                    <c:v>42100000-0</c:v>
                  </c:pt>
                  <c:pt idx="10">
                    <c:v>34946000-0</c:v>
                  </c:pt>
                  <c:pt idx="11">
                    <c:v>31174000-6</c:v>
                  </c:pt>
                  <c:pt idx="12">
                    <c:v>31174000-6</c:v>
                  </c:pt>
                  <c:pt idx="13">
                    <c:v>34000000-7</c:v>
                  </c:pt>
                  <c:pt idx="14">
                    <c:v>34121400-5</c:v>
                  </c:pt>
                  <c:pt idx="15">
                    <c:v>31321100-3</c:v>
                  </c:pt>
                  <c:pt idx="16">
                    <c:v>44212226-9</c:v>
                  </c:pt>
                  <c:pt idx="17">
                    <c:v>31174000-6</c:v>
                  </c:pt>
                  <c:pt idx="18">
                    <c:v>31000000-6</c:v>
                  </c:pt>
                  <c:pt idx="19">
                    <c:v>34622100-4</c:v>
                  </c:pt>
                  <c:pt idx="20">
                    <c:v>50225000-8</c:v>
                  </c:pt>
                  <c:pt idx="21">
                    <c:v>71300000-1</c:v>
                  </c:pt>
                  <c:pt idx="22">
                    <c:v>34630000-2</c:v>
                  </c:pt>
                  <c:pt idx="23">
                    <c:v>34144910-0</c:v>
                  </c:pt>
                  <c:pt idx="24">
                    <c:v>34947000-7</c:v>
                  </c:pt>
                  <c:pt idx="25">
                    <c:v>73000000-2</c:v>
                  </c:pt>
                </c:lvl>
                <c:lvl>
                  <c:pt idx="0">
                    <c:v>Dā-nija</c:v>
                  </c:pt>
                  <c:pt idx="1">
                    <c:v>Somija</c:v>
                  </c:pt>
                  <c:pt idx="3">
                    <c:v>Itālija</c:v>
                  </c:pt>
                  <c:pt idx="4">
                    <c:v>Lietuva</c:v>
                  </c:pt>
                  <c:pt idx="9">
                    <c:v>Fran-cija</c:v>
                  </c:pt>
                  <c:pt idx="10">
                    <c:v>Baltkrievija</c:v>
                  </c:pt>
                  <c:pt idx="11">
                    <c:v>Hor-vātija</c:v>
                  </c:pt>
                  <c:pt idx="12">
                    <c:v>Bul-gārija</c:v>
                  </c:pt>
                  <c:pt idx="13">
                    <c:v>Igaunija</c:v>
                  </c:pt>
                  <c:pt idx="17">
                    <c:v>Čehija</c:v>
                  </c:pt>
                  <c:pt idx="21">
                    <c:v>Zvie-drija</c:v>
                  </c:pt>
                  <c:pt idx="22">
                    <c:v>Au-strija</c:v>
                  </c:pt>
                  <c:pt idx="23">
                    <c:v>Polija</c:v>
                  </c:pt>
                  <c:pt idx="25">
                    <c:v>Vācija</c:v>
                  </c:pt>
                </c:lvl>
              </c:multiLvlStrCache>
            </c:multiLvlStrRef>
          </c:cat>
          <c:val>
            <c:numRef>
              <c:f>III_Virs_ES_ārvalstnieki_Din!$C$42:$C$67</c:f>
              <c:numCache>
                <c:formatCode>0.00</c:formatCode>
                <c:ptCount val="26"/>
                <c:pt idx="0">
                  <c:v>7.02</c:v>
                </c:pt>
                <c:pt idx="1">
                  <c:v>2.16</c:v>
                </c:pt>
                <c:pt idx="2">
                  <c:v>0.24</c:v>
                </c:pt>
                <c:pt idx="3">
                  <c:v>0.5</c:v>
                </c:pt>
                <c:pt idx="4">
                  <c:v>1.1399999999999999</c:v>
                </c:pt>
                <c:pt idx="5" formatCode="#,##0.00">
                  <c:v>0.78</c:v>
                </c:pt>
                <c:pt idx="6" formatCode="#,##0.00">
                  <c:v>0.05</c:v>
                </c:pt>
                <c:pt idx="7" formatCode="#,##0.00">
                  <c:v>12.6</c:v>
                </c:pt>
                <c:pt idx="8" formatCode="#,##0.00">
                  <c:v>0.48</c:v>
                </c:pt>
                <c:pt idx="9" formatCode="#,##0.00">
                  <c:v>7.96</c:v>
                </c:pt>
                <c:pt idx="10" formatCode="#,##0.00">
                  <c:v>0.02</c:v>
                </c:pt>
                <c:pt idx="11" formatCode="#,##0.00">
                  <c:v>0.34</c:v>
                </c:pt>
                <c:pt idx="12" formatCode="#,##0.00">
                  <c:v>1.0900000000000001</c:v>
                </c:pt>
                <c:pt idx="13" formatCode="#,##0.00">
                  <c:v>1</c:v>
                </c:pt>
                <c:pt idx="14" formatCode="#,##0.00">
                  <c:v>3.94</c:v>
                </c:pt>
                <c:pt idx="15" formatCode="#,##0.00">
                  <c:v>1.56</c:v>
                </c:pt>
                <c:pt idx="16" formatCode="#,##0.00">
                  <c:v>1.81</c:v>
                </c:pt>
                <c:pt idx="17" formatCode="#,##0.00">
                  <c:v>1.06</c:v>
                </c:pt>
                <c:pt idx="18" formatCode="#,##0.00">
                  <c:v>2.04</c:v>
                </c:pt>
                <c:pt idx="19" formatCode="#,##0.00">
                  <c:v>62.6</c:v>
                </c:pt>
                <c:pt idx="20" formatCode="#,##0.00">
                  <c:v>0.55000000000000004</c:v>
                </c:pt>
                <c:pt idx="21" formatCode="#,##0.00">
                  <c:v>0.97</c:v>
                </c:pt>
                <c:pt idx="22" formatCode="#,##0.00">
                  <c:v>0.55000000000000004</c:v>
                </c:pt>
                <c:pt idx="23" formatCode="#,##0.00">
                  <c:v>21.5</c:v>
                </c:pt>
                <c:pt idx="24" formatCode="#,##0.00">
                  <c:v>3.75</c:v>
                </c:pt>
                <c:pt idx="25" formatCode="#,##0.00">
                  <c:v>1.56</c:v>
                </c:pt>
              </c:numCache>
            </c:numRef>
          </c:val>
          <c:extLst>
            <c:ext xmlns:c16="http://schemas.microsoft.com/office/drawing/2014/chart" uri="{C3380CC4-5D6E-409C-BE32-E72D297353CC}">
              <c16:uniqueId val="{00000000-5516-49D6-B157-F20D81690DAA}"/>
            </c:ext>
          </c:extLst>
        </c:ser>
        <c:dLbls>
          <c:showLegendKey val="0"/>
          <c:showVal val="0"/>
          <c:showCatName val="0"/>
          <c:showSerName val="0"/>
          <c:showPercent val="0"/>
          <c:showBubbleSize val="0"/>
        </c:dLbls>
        <c:gapWidth val="115"/>
        <c:overlap val="-20"/>
        <c:axId val="493280400"/>
        <c:axId val="493276792"/>
      </c:barChart>
      <c:catAx>
        <c:axId val="493280400"/>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lv-LV"/>
          </a:p>
        </c:txPr>
        <c:crossAx val="493276792"/>
        <c:crosses val="autoZero"/>
        <c:auto val="1"/>
        <c:lblAlgn val="ctr"/>
        <c:lblOffset val="100"/>
        <c:noMultiLvlLbl val="0"/>
      </c:catAx>
      <c:valAx>
        <c:axId val="493276792"/>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3280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DD10-4558-A2F8-2178A7F1D1E2}"/>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D10-4558-A2F8-2178A7F1D1E2}"/>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DD10-4558-A2F8-2178A7F1D1E2}"/>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D10-4558-A2F8-2178A7F1D1E2}"/>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DD10-4558-A2F8-2178A7F1D1E2}"/>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DD10-4558-A2F8-2178A7F1D1E2}"/>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8-DD10-4558-A2F8-2178A7F1D1E2}"/>
              </c:ext>
            </c:extLst>
          </c:dPt>
          <c:dPt>
            <c:idx val="7"/>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DD10-4558-A2F8-2178A7F1D1E2}"/>
              </c:ext>
            </c:extLst>
          </c:dPt>
          <c:dLbls>
            <c:dLbl>
              <c:idx val="0"/>
              <c:layout>
                <c:manualLayout>
                  <c:x val="5.8919803600654581E-2"/>
                  <c:y val="-3.3755274261603376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D10-4558-A2F8-2178A7F1D1E2}"/>
                </c:ext>
              </c:extLst>
            </c:dLbl>
            <c:dLbl>
              <c:idx val="1"/>
              <c:layout>
                <c:manualLayout>
                  <c:x val="2.6186579378068741E-2"/>
                  <c:y val="5.063291139240493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D10-4558-A2F8-2178A7F1D1E2}"/>
                </c:ext>
              </c:extLst>
            </c:dLbl>
            <c:dLbl>
              <c:idx val="2"/>
              <c:layout>
                <c:manualLayout>
                  <c:x val="6.5466448445171853E-3"/>
                  <c:y val="0.12151898734177215"/>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D10-4558-A2F8-2178A7F1D1E2}"/>
                </c:ext>
              </c:extLst>
            </c:dLbl>
            <c:dLbl>
              <c:idx val="3"/>
              <c:layout>
                <c:manualLayout>
                  <c:x val="-1.9639934533551555E-2"/>
                  <c:y val="-1.012658227848101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D10-4558-A2F8-2178A7F1D1E2}"/>
                </c:ext>
              </c:extLst>
            </c:dLbl>
            <c:dLbl>
              <c:idx val="4"/>
              <c:layout>
                <c:manualLayout>
                  <c:x val="-0.12345679012345678"/>
                  <c:y val="-1.173020527859237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D10-4558-A2F8-2178A7F1D1E2}"/>
                </c:ext>
              </c:extLst>
            </c:dLbl>
            <c:dLbl>
              <c:idx val="5"/>
              <c:layout>
                <c:manualLayout>
                  <c:x val="-1.0288065843621399E-2"/>
                  <c:y val="-2.346041055718475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D10-4558-A2F8-2178A7F1D1E2}"/>
                </c:ext>
              </c:extLst>
            </c:dLbl>
            <c:dLbl>
              <c:idx val="6"/>
              <c:layout>
                <c:manualLayout>
                  <c:x val="3.7097654118930713E-2"/>
                  <c:y val="-1.687763713080168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DD10-4558-A2F8-2178A7F1D1E2}"/>
                </c:ext>
              </c:extLst>
            </c:dLbl>
            <c:dLbl>
              <c:idx val="7"/>
              <c:layout>
                <c:manualLayout>
                  <c:x val="8.5106382978723402E-2"/>
                  <c:y val="-1.687763713080168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D10-4558-A2F8-2178A7F1D1E2}"/>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IV_Zem_Din!$A$4:$A$11</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IV_Zem_Din!$B$4:$B$11</c:f>
              <c:numCache>
                <c:formatCode>#,##0</c:formatCode>
                <c:ptCount val="8"/>
                <c:pt idx="0">
                  <c:v>69673241</c:v>
                </c:pt>
                <c:pt idx="1">
                  <c:v>444456538</c:v>
                </c:pt>
                <c:pt idx="2">
                  <c:v>61183938</c:v>
                </c:pt>
                <c:pt idx="3">
                  <c:v>81989872</c:v>
                </c:pt>
                <c:pt idx="4">
                  <c:v>63039952</c:v>
                </c:pt>
                <c:pt idx="5">
                  <c:v>4774592</c:v>
                </c:pt>
                <c:pt idx="6">
                  <c:v>24576754</c:v>
                </c:pt>
                <c:pt idx="7">
                  <c:v>9911998</c:v>
                </c:pt>
              </c:numCache>
            </c:numRef>
          </c:val>
          <c:extLst>
            <c:ext xmlns:c16="http://schemas.microsoft.com/office/drawing/2014/chart" uri="{C3380CC4-5D6E-409C-BE32-E72D297353CC}">
              <c16:uniqueId val="{00000000-DD10-4558-A2F8-2178A7F1D1E2}"/>
            </c:ext>
          </c:extLst>
        </c:ser>
        <c:ser>
          <c:idx val="1"/>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DD10-4558-A2F8-2178A7F1D1E2}"/>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DD10-4558-A2F8-2178A7F1D1E2}"/>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DD10-4558-A2F8-2178A7F1D1E2}"/>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DD10-4558-A2F8-2178A7F1D1E2}"/>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DD10-4558-A2F8-2178A7F1D1E2}"/>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F-DD10-4558-A2F8-2178A7F1D1E2}"/>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DD10-4558-A2F8-2178A7F1D1E2}"/>
              </c:ext>
            </c:extLst>
          </c:dPt>
          <c:dPt>
            <c:idx val="7"/>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1-DD10-4558-A2F8-2178A7F1D1E2}"/>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A-DD10-4558-A2F8-2178A7F1D1E2}"/>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B-DD10-4558-A2F8-2178A7F1D1E2}"/>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C-DD10-4558-A2F8-2178A7F1D1E2}"/>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D-DD10-4558-A2F8-2178A7F1D1E2}"/>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E-DD10-4558-A2F8-2178A7F1D1E2}"/>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F-DD10-4558-A2F8-2178A7F1D1E2}"/>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10-DD10-4558-A2F8-2178A7F1D1E2}"/>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11-DD10-4558-A2F8-2178A7F1D1E2}"/>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IV_Zem_Din!$A$4:$A$11</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IV_Zem_Din!$C$4:$C$11</c:f>
              <c:numCache>
                <c:formatCode>0.0%</c:formatCode>
                <c:ptCount val="8"/>
                <c:pt idx="0">
                  <c:v>9.1722761306988421E-2</c:v>
                </c:pt>
                <c:pt idx="1">
                  <c:v>0.58511388821864085</c:v>
                </c:pt>
                <c:pt idx="2">
                  <c:v>8.0546844964418662E-2</c:v>
                </c:pt>
                <c:pt idx="3">
                  <c:v>0.10793724177473721</c:v>
                </c:pt>
                <c:pt idx="4">
                  <c:v>8.2990232506910469E-2</c:v>
                </c:pt>
                <c:pt idx="5">
                  <c:v>6.2856091674313875E-3</c:v>
                </c:pt>
                <c:pt idx="6">
                  <c:v>3.2354569824627116E-2</c:v>
                </c:pt>
                <c:pt idx="7">
                  <c:v>1.3048852236245858E-2</c:v>
                </c:pt>
              </c:numCache>
            </c:numRef>
          </c:val>
          <c:extLst>
            <c:ext xmlns:c16="http://schemas.microsoft.com/office/drawing/2014/chart" uri="{C3380CC4-5D6E-409C-BE32-E72D297353CC}">
              <c16:uniqueId val="{00000001-DD10-4558-A2F8-2178A7F1D1E2}"/>
            </c:ext>
          </c:extLst>
        </c:ser>
        <c:dLbls>
          <c:dLblPos val="outEnd"/>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IV_Zem_Din!$A$22</c:f>
              <c:strCache>
                <c:ptCount val="1"/>
                <c:pt idx="0">
                  <c:v>Būvdarbi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IV_Zem_Din!$B$21:$H$21</c:f>
              <c:strCache>
                <c:ptCount val="7"/>
                <c:pt idx="0">
                  <c:v>2010.gads</c:v>
                </c:pt>
                <c:pt idx="1">
                  <c:v>2011. gads</c:v>
                </c:pt>
                <c:pt idx="2">
                  <c:v>2012. gads</c:v>
                </c:pt>
                <c:pt idx="3">
                  <c:v>2013. gads</c:v>
                </c:pt>
                <c:pt idx="4">
                  <c:v>2014. gads</c:v>
                </c:pt>
                <c:pt idx="5">
                  <c:v>2015. gads</c:v>
                </c:pt>
                <c:pt idx="6">
                  <c:v>2016. gads</c:v>
                </c:pt>
              </c:strCache>
            </c:strRef>
          </c:cat>
          <c:val>
            <c:numRef>
              <c:f>IV_Zem_Din!$B$22:$H$22</c:f>
              <c:numCache>
                <c:formatCode>0.0%</c:formatCode>
                <c:ptCount val="7"/>
                <c:pt idx="0">
                  <c:v>0.39</c:v>
                </c:pt>
                <c:pt idx="1">
                  <c:v>0.45900000000000002</c:v>
                </c:pt>
                <c:pt idx="2">
                  <c:v>0.45400000000000001</c:v>
                </c:pt>
                <c:pt idx="3">
                  <c:v>0.46700000000000003</c:v>
                </c:pt>
                <c:pt idx="4">
                  <c:v>0.34599999999999997</c:v>
                </c:pt>
                <c:pt idx="5">
                  <c:v>0.29399999999999998</c:v>
                </c:pt>
                <c:pt idx="6">
                  <c:v>0.20599999999999999</c:v>
                </c:pt>
              </c:numCache>
            </c:numRef>
          </c:val>
          <c:extLst>
            <c:ext xmlns:c16="http://schemas.microsoft.com/office/drawing/2014/chart" uri="{C3380CC4-5D6E-409C-BE32-E72D297353CC}">
              <c16:uniqueId val="{00000000-9EE1-4D98-B426-1014BF6D735E}"/>
            </c:ext>
          </c:extLst>
        </c:ser>
        <c:ser>
          <c:idx val="1"/>
          <c:order val="1"/>
          <c:tx>
            <c:strRef>
              <c:f>IV_Zem_Din!$A$23</c:f>
              <c:strCache>
                <c:ptCount val="1"/>
                <c:pt idx="0">
                  <c:v>Prece</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IV_Zem_Din!$B$21:$H$21</c:f>
              <c:strCache>
                <c:ptCount val="7"/>
                <c:pt idx="0">
                  <c:v>2010.gads</c:v>
                </c:pt>
                <c:pt idx="1">
                  <c:v>2011. gads</c:v>
                </c:pt>
                <c:pt idx="2">
                  <c:v>2012. gads</c:v>
                </c:pt>
                <c:pt idx="3">
                  <c:v>2013. gads</c:v>
                </c:pt>
                <c:pt idx="4">
                  <c:v>2014. gads</c:v>
                </c:pt>
                <c:pt idx="5">
                  <c:v>2015. gads</c:v>
                </c:pt>
                <c:pt idx="6">
                  <c:v>2016. gads</c:v>
                </c:pt>
              </c:strCache>
            </c:strRef>
          </c:cat>
          <c:val>
            <c:numRef>
              <c:f>IV_Zem_Din!$B$23:$H$23</c:f>
              <c:numCache>
                <c:formatCode>0.0%</c:formatCode>
                <c:ptCount val="7"/>
                <c:pt idx="0">
                  <c:v>0.30199999999999999</c:v>
                </c:pt>
                <c:pt idx="1">
                  <c:v>0.25</c:v>
                </c:pt>
                <c:pt idx="2">
                  <c:v>0.27200000000000002</c:v>
                </c:pt>
                <c:pt idx="3">
                  <c:v>0.29799999999999999</c:v>
                </c:pt>
                <c:pt idx="4">
                  <c:v>0.20799999999999999</c:v>
                </c:pt>
                <c:pt idx="5">
                  <c:v>0.20799999999999999</c:v>
                </c:pt>
                <c:pt idx="6">
                  <c:v>0.23200000000000001</c:v>
                </c:pt>
              </c:numCache>
            </c:numRef>
          </c:val>
          <c:extLst>
            <c:ext xmlns:c16="http://schemas.microsoft.com/office/drawing/2014/chart" uri="{C3380CC4-5D6E-409C-BE32-E72D297353CC}">
              <c16:uniqueId val="{00000001-9EE1-4D98-B426-1014BF6D735E}"/>
            </c:ext>
          </c:extLst>
        </c:ser>
        <c:ser>
          <c:idx val="2"/>
          <c:order val="2"/>
          <c:tx>
            <c:strRef>
              <c:f>IV_Zem_Din!$A$24</c:f>
              <c:strCache>
                <c:ptCount val="1"/>
                <c:pt idx="0">
                  <c:v>Pakalpojumi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IV_Zem_Din!$B$21:$H$21</c:f>
              <c:strCache>
                <c:ptCount val="7"/>
                <c:pt idx="0">
                  <c:v>2010.gads</c:v>
                </c:pt>
                <c:pt idx="1">
                  <c:v>2011. gads</c:v>
                </c:pt>
                <c:pt idx="2">
                  <c:v>2012. gads</c:v>
                </c:pt>
                <c:pt idx="3">
                  <c:v>2013. gads</c:v>
                </c:pt>
                <c:pt idx="4">
                  <c:v>2014. gads</c:v>
                </c:pt>
                <c:pt idx="5">
                  <c:v>2015. gads</c:v>
                </c:pt>
                <c:pt idx="6">
                  <c:v>2016. gads</c:v>
                </c:pt>
              </c:strCache>
            </c:strRef>
          </c:cat>
          <c:val>
            <c:numRef>
              <c:f>IV_Zem_Din!$B$24:$H$24</c:f>
              <c:numCache>
                <c:formatCode>0.0%</c:formatCode>
                <c:ptCount val="7"/>
                <c:pt idx="0">
                  <c:v>0.308</c:v>
                </c:pt>
                <c:pt idx="1">
                  <c:v>0.29099999999999998</c:v>
                </c:pt>
                <c:pt idx="2">
                  <c:v>0.27400000000000002</c:v>
                </c:pt>
                <c:pt idx="3">
                  <c:v>0.23499999999999999</c:v>
                </c:pt>
                <c:pt idx="4">
                  <c:v>0.44700000000000001</c:v>
                </c:pt>
                <c:pt idx="5">
                  <c:v>0.498</c:v>
                </c:pt>
                <c:pt idx="6">
                  <c:v>0.56100000000000005</c:v>
                </c:pt>
              </c:numCache>
            </c:numRef>
          </c:val>
          <c:extLst>
            <c:ext xmlns:c16="http://schemas.microsoft.com/office/drawing/2014/chart" uri="{C3380CC4-5D6E-409C-BE32-E72D297353CC}">
              <c16:uniqueId val="{00000002-9EE1-4D98-B426-1014BF6D735E}"/>
            </c:ext>
          </c:extLst>
        </c:ser>
        <c:dLbls>
          <c:dLblPos val="ctr"/>
          <c:showLegendKey val="0"/>
          <c:showVal val="1"/>
          <c:showCatName val="0"/>
          <c:showSerName val="0"/>
          <c:showPercent val="0"/>
          <c:showBubbleSize val="0"/>
        </c:dLbls>
        <c:gapWidth val="150"/>
        <c:overlap val="100"/>
        <c:axId val="493999440"/>
        <c:axId val="493994520"/>
      </c:barChart>
      <c:catAx>
        <c:axId val="493999440"/>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3994520"/>
        <c:crosses val="autoZero"/>
        <c:auto val="1"/>
        <c:lblAlgn val="ctr"/>
        <c:lblOffset val="100"/>
        <c:noMultiLvlLbl val="0"/>
      </c:catAx>
      <c:valAx>
        <c:axId val="4939945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3999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IV_Zem_Din!$B$39:$C$39</c:f>
              <c:strCache>
                <c:ptCount val="2"/>
                <c:pt idx="0">
                  <c:v>Būvdarbi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3"/>
              <c:layout>
                <c:manualLayout>
                  <c:x val="-8.0808080808080843E-2"/>
                  <c:y val="9.259259259259258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0B-47D5-AE15-932776F25E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IV_Zem_Din!$D$38:$I$38</c:f>
              <c:strCache>
                <c:ptCount val="6"/>
                <c:pt idx="0">
                  <c:v>2011. gads</c:v>
                </c:pt>
                <c:pt idx="1">
                  <c:v>2012. gads</c:v>
                </c:pt>
                <c:pt idx="2">
                  <c:v>2013. gads</c:v>
                </c:pt>
                <c:pt idx="3">
                  <c:v>2014. gads</c:v>
                </c:pt>
                <c:pt idx="4">
                  <c:v>2015. gads</c:v>
                </c:pt>
                <c:pt idx="5">
                  <c:v>2016. gads</c:v>
                </c:pt>
              </c:strCache>
            </c:strRef>
          </c:cat>
          <c:val>
            <c:numRef>
              <c:f>IV_Zem_Din!$D$39:$I$39</c:f>
              <c:numCache>
                <c:formatCode>0.0%</c:formatCode>
                <c:ptCount val="6"/>
                <c:pt idx="0">
                  <c:v>0.28799999999999998</c:v>
                </c:pt>
                <c:pt idx="1">
                  <c:v>7.6999999999999999E-2</c:v>
                </c:pt>
                <c:pt idx="2">
                  <c:v>5.2999999999999999E-2</c:v>
                </c:pt>
                <c:pt idx="3">
                  <c:v>-2.7E-2</c:v>
                </c:pt>
                <c:pt idx="4">
                  <c:v>2.8999999999999998E-3</c:v>
                </c:pt>
                <c:pt idx="5">
                  <c:v>-0.33531157270029671</c:v>
                </c:pt>
              </c:numCache>
            </c:numRef>
          </c:val>
          <c:extLst>
            <c:ext xmlns:c16="http://schemas.microsoft.com/office/drawing/2014/chart" uri="{C3380CC4-5D6E-409C-BE32-E72D297353CC}">
              <c16:uniqueId val="{00000000-D20B-47D5-AE15-932776F25E26}"/>
            </c:ext>
          </c:extLst>
        </c:ser>
        <c:ser>
          <c:idx val="1"/>
          <c:order val="1"/>
          <c:tx>
            <c:strRef>
              <c:f>IV_Zem_Din!$B$40:$C$40</c:f>
              <c:strCache>
                <c:ptCount val="2"/>
                <c:pt idx="0">
                  <c:v>Prece</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layout>
                <c:manualLayout>
                  <c:x val="-0.12121212121212124"/>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20B-47D5-AE15-932776F25E26}"/>
                </c:ext>
              </c:extLst>
            </c:dLbl>
            <c:dLbl>
              <c:idx val="3"/>
              <c:layout>
                <c:manualLayout>
                  <c:x val="-0.10666666666666667"/>
                  <c:y val="4.62962962962962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0B-47D5-AE15-932776F25E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IV_Zem_Din!$D$38:$I$38</c:f>
              <c:strCache>
                <c:ptCount val="6"/>
                <c:pt idx="0">
                  <c:v>2011. gads</c:v>
                </c:pt>
                <c:pt idx="1">
                  <c:v>2012. gads</c:v>
                </c:pt>
                <c:pt idx="2">
                  <c:v>2013. gads</c:v>
                </c:pt>
                <c:pt idx="3">
                  <c:v>2014. gads</c:v>
                </c:pt>
                <c:pt idx="4">
                  <c:v>2015. gads</c:v>
                </c:pt>
                <c:pt idx="5">
                  <c:v>2016. gads</c:v>
                </c:pt>
              </c:strCache>
            </c:strRef>
          </c:cat>
          <c:val>
            <c:numRef>
              <c:f>IV_Zem_Din!$D$40:$I$40</c:f>
              <c:numCache>
                <c:formatCode>0.0%</c:formatCode>
                <c:ptCount val="6"/>
                <c:pt idx="0">
                  <c:v>-9.7000000000000003E-2</c:v>
                </c:pt>
                <c:pt idx="1">
                  <c:v>0.185</c:v>
                </c:pt>
                <c:pt idx="2">
                  <c:v>0.121</c:v>
                </c:pt>
                <c:pt idx="3">
                  <c:v>-8.3000000000000004E-2</c:v>
                </c:pt>
                <c:pt idx="4">
                  <c:v>0.183</c:v>
                </c:pt>
                <c:pt idx="5">
                  <c:v>5.4425837320574301E-2</c:v>
                </c:pt>
              </c:numCache>
            </c:numRef>
          </c:val>
          <c:extLst>
            <c:ext xmlns:c16="http://schemas.microsoft.com/office/drawing/2014/chart" uri="{C3380CC4-5D6E-409C-BE32-E72D297353CC}">
              <c16:uniqueId val="{00000001-D20B-47D5-AE15-932776F25E26}"/>
            </c:ext>
          </c:extLst>
        </c:ser>
        <c:ser>
          <c:idx val="2"/>
          <c:order val="2"/>
          <c:tx>
            <c:strRef>
              <c:f>IV_Zem_Din!$B$41:$C$41</c:f>
              <c:strCache>
                <c:ptCount val="2"/>
                <c:pt idx="0">
                  <c:v>Pakalpojumi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2"/>
              <c:layout>
                <c:manualLayout>
                  <c:x val="-0.1260606060606060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20B-47D5-AE15-932776F25E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IV_Zem_Din!$D$38:$I$38</c:f>
              <c:strCache>
                <c:ptCount val="6"/>
                <c:pt idx="0">
                  <c:v>2011. gads</c:v>
                </c:pt>
                <c:pt idx="1">
                  <c:v>2012. gads</c:v>
                </c:pt>
                <c:pt idx="2">
                  <c:v>2013. gads</c:v>
                </c:pt>
                <c:pt idx="3">
                  <c:v>2014. gads</c:v>
                </c:pt>
                <c:pt idx="4">
                  <c:v>2015. gads</c:v>
                </c:pt>
                <c:pt idx="5">
                  <c:v>2016. gads</c:v>
                </c:pt>
              </c:strCache>
            </c:strRef>
          </c:cat>
          <c:val>
            <c:numRef>
              <c:f>IV_Zem_Din!$D$41:$I$41</c:f>
              <c:numCache>
                <c:formatCode>0.0%</c:formatCode>
                <c:ptCount val="6"/>
                <c:pt idx="0">
                  <c:v>3.5999999999999997E-2</c:v>
                </c:pt>
                <c:pt idx="1">
                  <c:v>2.1000000000000001E-2</c:v>
                </c:pt>
                <c:pt idx="2">
                  <c:v>-0.11899999999999999</c:v>
                </c:pt>
                <c:pt idx="3">
                  <c:v>1.494</c:v>
                </c:pt>
                <c:pt idx="4">
                  <c:v>0.315</c:v>
                </c:pt>
                <c:pt idx="5">
                  <c:v>6.7584480600750937E-2</c:v>
                </c:pt>
              </c:numCache>
            </c:numRef>
          </c:val>
          <c:extLst>
            <c:ext xmlns:c16="http://schemas.microsoft.com/office/drawing/2014/chart" uri="{C3380CC4-5D6E-409C-BE32-E72D297353CC}">
              <c16:uniqueId val="{00000002-D20B-47D5-AE15-932776F25E26}"/>
            </c:ext>
          </c:extLst>
        </c:ser>
        <c:dLbls>
          <c:dLblPos val="outEnd"/>
          <c:showLegendKey val="0"/>
          <c:showVal val="1"/>
          <c:showCatName val="0"/>
          <c:showSerName val="0"/>
          <c:showPercent val="0"/>
          <c:showBubbleSize val="0"/>
        </c:dLbls>
        <c:gapWidth val="115"/>
        <c:overlap val="-20"/>
        <c:axId val="500378824"/>
        <c:axId val="500379152"/>
      </c:barChart>
      <c:catAx>
        <c:axId val="500378824"/>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lv-LV"/>
          </a:p>
        </c:txPr>
        <c:crossAx val="500379152"/>
        <c:crosses val="autoZero"/>
        <c:auto val="1"/>
        <c:lblAlgn val="ctr"/>
        <c:lblOffset val="100"/>
        <c:noMultiLvlLbl val="0"/>
      </c:catAx>
      <c:valAx>
        <c:axId val="500379152"/>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0378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IV_Zem_Din!$A$61:$D$61</c:f>
              <c:strCache>
                <c:ptCount val="4"/>
                <c:pt idx="0">
                  <c:v>Būvdarbu iepirkumi (milj.EUR)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IV_Zem_Din!$E$60:$K$60</c:f>
              <c:strCache>
                <c:ptCount val="7"/>
                <c:pt idx="0">
                  <c:v>2010. gads</c:v>
                </c:pt>
                <c:pt idx="1">
                  <c:v>2011. gads</c:v>
                </c:pt>
                <c:pt idx="2">
                  <c:v>2012. gads</c:v>
                </c:pt>
                <c:pt idx="3">
                  <c:v>2013. gads</c:v>
                </c:pt>
                <c:pt idx="4">
                  <c:v>2014. gads</c:v>
                </c:pt>
                <c:pt idx="5">
                  <c:v>2015. gads</c:v>
                </c:pt>
                <c:pt idx="6">
                  <c:v>2016. gads</c:v>
                </c:pt>
              </c:strCache>
            </c:strRef>
          </c:cat>
          <c:val>
            <c:numRef>
              <c:f>IV_Zem_Din!$E$61:$K$61</c:f>
              <c:numCache>
                <c:formatCode>0.0</c:formatCode>
                <c:ptCount val="7"/>
                <c:pt idx="0">
                  <c:v>165.6</c:v>
                </c:pt>
                <c:pt idx="1">
                  <c:v>213.3</c:v>
                </c:pt>
                <c:pt idx="2">
                  <c:v>229.7</c:v>
                </c:pt>
                <c:pt idx="3">
                  <c:v>241.8</c:v>
                </c:pt>
                <c:pt idx="4">
                  <c:v>235.2</c:v>
                </c:pt>
                <c:pt idx="5">
                  <c:v>235.9</c:v>
                </c:pt>
                <c:pt idx="6" formatCode="General">
                  <c:v>156.80000000000001</c:v>
                </c:pt>
              </c:numCache>
            </c:numRef>
          </c:val>
          <c:extLst>
            <c:ext xmlns:c16="http://schemas.microsoft.com/office/drawing/2014/chart" uri="{C3380CC4-5D6E-409C-BE32-E72D297353CC}">
              <c16:uniqueId val="{00000000-5397-4B65-9FCE-4E431B111FF3}"/>
            </c:ext>
          </c:extLst>
        </c:ser>
        <c:ser>
          <c:idx val="1"/>
          <c:order val="1"/>
          <c:tx>
            <c:strRef>
              <c:f>IV_Zem_Din!$A$62:$D$62</c:f>
              <c:strCache>
                <c:ptCount val="4"/>
                <c:pt idx="0">
                  <c:v>Preču iepirkumi (milj.EUR)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IV_Zem_Din!$E$60:$K$60</c:f>
              <c:strCache>
                <c:ptCount val="7"/>
                <c:pt idx="0">
                  <c:v>2010. gads</c:v>
                </c:pt>
                <c:pt idx="1">
                  <c:v>2011. gads</c:v>
                </c:pt>
                <c:pt idx="2">
                  <c:v>2012. gads</c:v>
                </c:pt>
                <c:pt idx="3">
                  <c:v>2013. gads</c:v>
                </c:pt>
                <c:pt idx="4">
                  <c:v>2014. gads</c:v>
                </c:pt>
                <c:pt idx="5">
                  <c:v>2015. gads</c:v>
                </c:pt>
                <c:pt idx="6">
                  <c:v>2016. gads</c:v>
                </c:pt>
              </c:strCache>
            </c:strRef>
          </c:cat>
          <c:val>
            <c:numRef>
              <c:f>IV_Zem_Din!$E$62:$K$62</c:f>
              <c:numCache>
                <c:formatCode>0.0</c:formatCode>
                <c:ptCount val="7"/>
                <c:pt idx="0">
                  <c:v>128.30000000000001</c:v>
                </c:pt>
                <c:pt idx="1">
                  <c:v>116</c:v>
                </c:pt>
                <c:pt idx="2">
                  <c:v>137.4</c:v>
                </c:pt>
                <c:pt idx="3">
                  <c:v>154.1</c:v>
                </c:pt>
                <c:pt idx="4">
                  <c:v>151.4</c:v>
                </c:pt>
                <c:pt idx="5">
                  <c:v>167.2</c:v>
                </c:pt>
                <c:pt idx="6" formatCode="General">
                  <c:v>176.3</c:v>
                </c:pt>
              </c:numCache>
            </c:numRef>
          </c:val>
          <c:extLst>
            <c:ext xmlns:c16="http://schemas.microsoft.com/office/drawing/2014/chart" uri="{C3380CC4-5D6E-409C-BE32-E72D297353CC}">
              <c16:uniqueId val="{00000001-5397-4B65-9FCE-4E431B111FF3}"/>
            </c:ext>
          </c:extLst>
        </c:ser>
        <c:ser>
          <c:idx val="2"/>
          <c:order val="2"/>
          <c:tx>
            <c:strRef>
              <c:f>IV_Zem_Din!$A$63:$D$63</c:f>
              <c:strCache>
                <c:ptCount val="4"/>
                <c:pt idx="0">
                  <c:v>Pakalpojumu iepirkumi (milj.EUR)</c:v>
                </c:pt>
              </c:strCache>
            </c:strRef>
          </c:tx>
          <c:spPr>
            <a:solidFill>
              <a:schemeClr val="accent3"/>
            </a:solidFill>
            <a:ln>
              <a:noFill/>
            </a:ln>
            <a:effectLst/>
          </c:spPr>
          <c:invertIfNegative val="0"/>
          <c:dLbls>
            <c:dLbl>
              <c:idx val="0"/>
              <c:layout>
                <c:manualLayout>
                  <c:x val="1.0582010582010581E-2"/>
                  <c:y val="-2.91120815138293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397-4B65-9FCE-4E431B111FF3}"/>
                </c:ext>
              </c:extLst>
            </c:dLbl>
            <c:dLbl>
              <c:idx val="2"/>
              <c:layout>
                <c:manualLayout>
                  <c:x val="9.070294784580554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397-4B65-9FCE-4E431B111F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IV_Zem_Din!$E$60:$K$60</c:f>
              <c:strCache>
                <c:ptCount val="7"/>
                <c:pt idx="0">
                  <c:v>2010. gads</c:v>
                </c:pt>
                <c:pt idx="1">
                  <c:v>2011. gads</c:v>
                </c:pt>
                <c:pt idx="2">
                  <c:v>2012. gads</c:v>
                </c:pt>
                <c:pt idx="3">
                  <c:v>2013. gads</c:v>
                </c:pt>
                <c:pt idx="4">
                  <c:v>2014. gads</c:v>
                </c:pt>
                <c:pt idx="5">
                  <c:v>2015. gads</c:v>
                </c:pt>
                <c:pt idx="6">
                  <c:v>2016. gads</c:v>
                </c:pt>
              </c:strCache>
            </c:strRef>
          </c:cat>
          <c:val>
            <c:numRef>
              <c:f>IV_Zem_Din!$E$63:$K$63</c:f>
              <c:numCache>
                <c:formatCode>0.0</c:formatCode>
                <c:ptCount val="7"/>
                <c:pt idx="0">
                  <c:v>130.80000000000001</c:v>
                </c:pt>
                <c:pt idx="1">
                  <c:v>135.4</c:v>
                </c:pt>
                <c:pt idx="2">
                  <c:v>138.30000000000001</c:v>
                </c:pt>
                <c:pt idx="3">
                  <c:v>121.8</c:v>
                </c:pt>
                <c:pt idx="4">
                  <c:v>303.8</c:v>
                </c:pt>
                <c:pt idx="5">
                  <c:v>399.5</c:v>
                </c:pt>
                <c:pt idx="6" formatCode="General">
                  <c:v>426.5</c:v>
                </c:pt>
              </c:numCache>
            </c:numRef>
          </c:val>
          <c:extLst>
            <c:ext xmlns:c16="http://schemas.microsoft.com/office/drawing/2014/chart" uri="{C3380CC4-5D6E-409C-BE32-E72D297353CC}">
              <c16:uniqueId val="{00000002-5397-4B65-9FCE-4E431B111FF3}"/>
            </c:ext>
          </c:extLst>
        </c:ser>
        <c:dLbls>
          <c:showLegendKey val="0"/>
          <c:showVal val="1"/>
          <c:showCatName val="0"/>
          <c:showSerName val="0"/>
          <c:showPercent val="0"/>
          <c:showBubbleSize val="0"/>
        </c:dLbls>
        <c:gapWidth val="219"/>
        <c:overlap val="-27"/>
        <c:axId val="500955840"/>
        <c:axId val="500951248"/>
      </c:barChart>
      <c:lineChart>
        <c:grouping val="standard"/>
        <c:varyColors val="0"/>
        <c:ser>
          <c:idx val="3"/>
          <c:order val="3"/>
          <c:tx>
            <c:strRef>
              <c:f>IV_Zem_Din!$A$64:$D$64</c:f>
              <c:strCache>
                <c:ptCount val="4"/>
                <c:pt idx="0">
                  <c:v>Būvdarbu iepirkumu vidējā vērtība (EUR)</c:v>
                </c:pt>
              </c:strCache>
            </c:strRef>
          </c:tx>
          <c:spPr>
            <a:ln w="28575" cap="rnd">
              <a:solidFill>
                <a:schemeClr val="accent1"/>
              </a:solidFill>
              <a:round/>
            </a:ln>
            <a:effectLst/>
          </c:spPr>
          <c:marker>
            <c:symbol val="none"/>
          </c:marker>
          <c:dLbls>
            <c:spPr>
              <a:solidFill>
                <a:schemeClr val="accent1">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IV_Zem_Din!$E$60:$K$60</c:f>
              <c:strCache>
                <c:ptCount val="7"/>
                <c:pt idx="0">
                  <c:v>2010. gads</c:v>
                </c:pt>
                <c:pt idx="1">
                  <c:v>2011. gads</c:v>
                </c:pt>
                <c:pt idx="2">
                  <c:v>2012. gads</c:v>
                </c:pt>
                <c:pt idx="3">
                  <c:v>2013. gads</c:v>
                </c:pt>
                <c:pt idx="4">
                  <c:v>2014. gads</c:v>
                </c:pt>
                <c:pt idx="5">
                  <c:v>2015. gads</c:v>
                </c:pt>
                <c:pt idx="6">
                  <c:v>2016. gads</c:v>
                </c:pt>
              </c:strCache>
            </c:strRef>
          </c:cat>
          <c:val>
            <c:numRef>
              <c:f>IV_Zem_Din!$E$64:$K$64</c:f>
              <c:numCache>
                <c:formatCode>#,##0</c:formatCode>
                <c:ptCount val="7"/>
                <c:pt idx="0">
                  <c:v>93386</c:v>
                </c:pt>
                <c:pt idx="1">
                  <c:v>92613</c:v>
                </c:pt>
                <c:pt idx="2">
                  <c:v>41408</c:v>
                </c:pt>
                <c:pt idx="3">
                  <c:v>43826</c:v>
                </c:pt>
                <c:pt idx="4">
                  <c:v>44360</c:v>
                </c:pt>
                <c:pt idx="5">
                  <c:v>46955</c:v>
                </c:pt>
                <c:pt idx="6">
                  <c:v>27756</c:v>
                </c:pt>
              </c:numCache>
            </c:numRef>
          </c:val>
          <c:smooth val="0"/>
          <c:extLst>
            <c:ext xmlns:c16="http://schemas.microsoft.com/office/drawing/2014/chart" uri="{C3380CC4-5D6E-409C-BE32-E72D297353CC}">
              <c16:uniqueId val="{00000003-5397-4B65-9FCE-4E431B111FF3}"/>
            </c:ext>
          </c:extLst>
        </c:ser>
        <c:ser>
          <c:idx val="4"/>
          <c:order val="4"/>
          <c:tx>
            <c:strRef>
              <c:f>IV_Zem_Din!$A$65:$D$65</c:f>
              <c:strCache>
                <c:ptCount val="4"/>
                <c:pt idx="0">
                  <c:v>Preču iepirkumu vidējā vērtība (EUR)</c:v>
                </c:pt>
              </c:strCache>
            </c:strRef>
          </c:tx>
          <c:spPr>
            <a:ln w="28575" cap="rnd">
              <a:solidFill>
                <a:schemeClr val="accent2"/>
              </a:solidFill>
              <a:round/>
            </a:ln>
            <a:effectLst/>
          </c:spPr>
          <c:marker>
            <c:symbol val="none"/>
          </c:marker>
          <c:dLbls>
            <c:spPr>
              <a:solidFill>
                <a:schemeClr val="accent2">
                  <a:lumMod val="20000"/>
                  <a:lumOff val="80000"/>
                </a:schemeClr>
              </a:solidFill>
              <a:ln>
                <a:solidFill>
                  <a:schemeClr val="accent2">
                    <a:lumMod val="20000"/>
                    <a:lumOff val="80000"/>
                  </a:schemeClr>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IV_Zem_Din!$E$60:$K$60</c:f>
              <c:strCache>
                <c:ptCount val="7"/>
                <c:pt idx="0">
                  <c:v>2010. gads</c:v>
                </c:pt>
                <c:pt idx="1">
                  <c:v>2011. gads</c:v>
                </c:pt>
                <c:pt idx="2">
                  <c:v>2012. gads</c:v>
                </c:pt>
                <c:pt idx="3">
                  <c:v>2013. gads</c:v>
                </c:pt>
                <c:pt idx="4">
                  <c:v>2014. gads</c:v>
                </c:pt>
                <c:pt idx="5">
                  <c:v>2015. gads</c:v>
                </c:pt>
                <c:pt idx="6">
                  <c:v>2016. gads</c:v>
                </c:pt>
              </c:strCache>
            </c:strRef>
          </c:cat>
          <c:val>
            <c:numRef>
              <c:f>IV_Zem_Din!$E$65:$K$65</c:f>
              <c:numCache>
                <c:formatCode>#,##0</c:formatCode>
                <c:ptCount val="7"/>
                <c:pt idx="0">
                  <c:v>3443</c:v>
                </c:pt>
                <c:pt idx="1">
                  <c:v>4130</c:v>
                </c:pt>
                <c:pt idx="2">
                  <c:v>3681</c:v>
                </c:pt>
                <c:pt idx="3">
                  <c:v>4292</c:v>
                </c:pt>
                <c:pt idx="4">
                  <c:v>3725</c:v>
                </c:pt>
                <c:pt idx="5">
                  <c:v>2320</c:v>
                </c:pt>
                <c:pt idx="6">
                  <c:v>2611</c:v>
                </c:pt>
              </c:numCache>
            </c:numRef>
          </c:val>
          <c:smooth val="0"/>
          <c:extLst>
            <c:ext xmlns:c16="http://schemas.microsoft.com/office/drawing/2014/chart" uri="{C3380CC4-5D6E-409C-BE32-E72D297353CC}">
              <c16:uniqueId val="{00000004-5397-4B65-9FCE-4E431B111FF3}"/>
            </c:ext>
          </c:extLst>
        </c:ser>
        <c:ser>
          <c:idx val="5"/>
          <c:order val="5"/>
          <c:tx>
            <c:strRef>
              <c:f>IV_Zem_Din!$A$66:$D$66</c:f>
              <c:strCache>
                <c:ptCount val="4"/>
                <c:pt idx="0">
                  <c:v>Pakalpojumu iepirkumu vidējā vērtība (EUR)</c:v>
                </c:pt>
              </c:strCache>
            </c:strRef>
          </c:tx>
          <c:spPr>
            <a:ln w="28575" cap="rnd">
              <a:solidFill>
                <a:schemeClr val="accent3">
                  <a:lumMod val="75000"/>
                </a:schemeClr>
              </a:solidFill>
              <a:round/>
            </a:ln>
            <a:effectLst/>
          </c:spPr>
          <c:marker>
            <c:symbol val="none"/>
          </c:marker>
          <c:dLbls>
            <c:dLbl>
              <c:idx val="0"/>
              <c:layout>
                <c:manualLayout>
                  <c:x val="2.3223644663464688E-2"/>
                  <c:y val="-5.09243658953111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397-4B65-9FCE-4E431B111FF3}"/>
                </c:ext>
              </c:extLst>
            </c:dLbl>
            <c:dLbl>
              <c:idx val="1"/>
              <c:layout>
                <c:manualLayout>
                  <c:x val="2.3223644663464688E-2"/>
                  <c:y val="-2.47234925328657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397-4B65-9FCE-4E431B111FF3}"/>
                </c:ext>
              </c:extLst>
            </c:dLbl>
            <c:dLbl>
              <c:idx val="2"/>
              <c:layout>
                <c:manualLayout>
                  <c:x val="2.3223644663464688E-2"/>
                  <c:y val="-5.38355740466939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397-4B65-9FCE-4E431B111FF3}"/>
                </c:ext>
              </c:extLst>
            </c:dLbl>
            <c:dLbl>
              <c:idx val="3"/>
              <c:layout>
                <c:manualLayout>
                  <c:x val="1.7176781473744355E-2"/>
                  <c:y val="-5.38355740466939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397-4B65-9FCE-4E431B111FF3}"/>
                </c:ext>
              </c:extLst>
            </c:dLbl>
            <c:dLbl>
              <c:idx val="4"/>
              <c:layout>
                <c:manualLayout>
                  <c:x val="1.6363430761630986E-3"/>
                  <c:y val="-3.05459088356313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397-4B65-9FCE-4E431B111FF3}"/>
                </c:ext>
              </c:extLst>
            </c:dLbl>
            <c:dLbl>
              <c:idx val="5"/>
              <c:layout>
                <c:manualLayout>
                  <c:x val="2.1711928866034493E-2"/>
                  <c:y val="-4.21907414411627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397-4B65-9FCE-4E431B111FF3}"/>
                </c:ext>
              </c:extLst>
            </c:dLbl>
            <c:spPr>
              <a:solidFill>
                <a:schemeClr val="accent3">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IV_Zem_Din!$E$60:$K$60</c:f>
              <c:strCache>
                <c:ptCount val="7"/>
                <c:pt idx="0">
                  <c:v>2010. gads</c:v>
                </c:pt>
                <c:pt idx="1">
                  <c:v>2011. gads</c:v>
                </c:pt>
                <c:pt idx="2">
                  <c:v>2012. gads</c:v>
                </c:pt>
                <c:pt idx="3">
                  <c:v>2013. gads</c:v>
                </c:pt>
                <c:pt idx="4">
                  <c:v>2014. gads</c:v>
                </c:pt>
                <c:pt idx="5">
                  <c:v>2015. gads</c:v>
                </c:pt>
                <c:pt idx="6">
                  <c:v>2016. gads</c:v>
                </c:pt>
              </c:strCache>
            </c:strRef>
          </c:cat>
          <c:val>
            <c:numRef>
              <c:f>IV_Zem_Din!$E$66:$K$66</c:f>
              <c:numCache>
                <c:formatCode>#,##0</c:formatCode>
                <c:ptCount val="7"/>
                <c:pt idx="0">
                  <c:v>5926</c:v>
                </c:pt>
                <c:pt idx="1">
                  <c:v>7341</c:v>
                </c:pt>
                <c:pt idx="2">
                  <c:v>4429</c:v>
                </c:pt>
                <c:pt idx="3">
                  <c:v>4337</c:v>
                </c:pt>
                <c:pt idx="4">
                  <c:v>10238</c:v>
                </c:pt>
                <c:pt idx="5">
                  <c:v>6206</c:v>
                </c:pt>
                <c:pt idx="6">
                  <c:v>6664</c:v>
                </c:pt>
              </c:numCache>
            </c:numRef>
          </c:val>
          <c:smooth val="0"/>
          <c:extLst>
            <c:ext xmlns:c16="http://schemas.microsoft.com/office/drawing/2014/chart" uri="{C3380CC4-5D6E-409C-BE32-E72D297353CC}">
              <c16:uniqueId val="{00000005-5397-4B65-9FCE-4E431B111FF3}"/>
            </c:ext>
          </c:extLst>
        </c:ser>
        <c:dLbls>
          <c:showLegendKey val="0"/>
          <c:showVal val="1"/>
          <c:showCatName val="0"/>
          <c:showSerName val="0"/>
          <c:showPercent val="0"/>
          <c:showBubbleSize val="0"/>
        </c:dLbls>
        <c:marker val="1"/>
        <c:smooth val="0"/>
        <c:axId val="500962072"/>
        <c:axId val="500966336"/>
      </c:lineChart>
      <c:catAx>
        <c:axId val="500955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0951248"/>
        <c:crosses val="autoZero"/>
        <c:auto val="1"/>
        <c:lblAlgn val="ctr"/>
        <c:lblOffset val="100"/>
        <c:noMultiLvlLbl val="0"/>
      </c:catAx>
      <c:valAx>
        <c:axId val="500951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Vidējā līgumu summa (EUR)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0955840"/>
        <c:crosses val="autoZero"/>
        <c:crossBetween val="between"/>
      </c:valAx>
      <c:valAx>
        <c:axId val="50096633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Noslēgtā līgumu summa (milj.EUR)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0962072"/>
        <c:crosses val="max"/>
        <c:crossBetween val="between"/>
      </c:valAx>
      <c:catAx>
        <c:axId val="500962072"/>
        <c:scaling>
          <c:orientation val="minMax"/>
        </c:scaling>
        <c:delete val="1"/>
        <c:axPos val="b"/>
        <c:numFmt formatCode="General" sourceLinked="1"/>
        <c:majorTickMark val="out"/>
        <c:minorTickMark val="none"/>
        <c:tickLblPos val="nextTo"/>
        <c:crossAx val="50096633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IV_Zem_Din!$B$98</c:f>
              <c:strCache>
                <c:ptCount val="1"/>
                <c:pt idx="0">
                  <c:v>Būvdarbi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IV_Zem_Din!$A$99:$A$106</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IV_Zem_Din!$B$99:$B$106</c:f>
              <c:numCache>
                <c:formatCode>0.0%</c:formatCode>
                <c:ptCount val="8"/>
                <c:pt idx="0">
                  <c:v>-0.4856932786100891</c:v>
                </c:pt>
                <c:pt idx="1">
                  <c:v>-0.22168703466748105</c:v>
                </c:pt>
                <c:pt idx="2">
                  <c:v>-0.41232129871852558</c:v>
                </c:pt>
                <c:pt idx="3">
                  <c:v>-0.72000751853756373</c:v>
                </c:pt>
                <c:pt idx="4">
                  <c:v>0.47488925809682242</c:v>
                </c:pt>
                <c:pt idx="5">
                  <c:v>-0.9982470093655148</c:v>
                </c:pt>
                <c:pt idx="6">
                  <c:v>-0.66515479066437311</c:v>
                </c:pt>
                <c:pt idx="7">
                  <c:v>4.1968133517488049</c:v>
                </c:pt>
              </c:numCache>
            </c:numRef>
          </c:val>
          <c:extLst>
            <c:ext xmlns:c16="http://schemas.microsoft.com/office/drawing/2014/chart" uri="{C3380CC4-5D6E-409C-BE32-E72D297353CC}">
              <c16:uniqueId val="{00000000-01A8-4E9E-82F2-E3D5FEE61719}"/>
            </c:ext>
          </c:extLst>
        </c:ser>
        <c:ser>
          <c:idx val="1"/>
          <c:order val="1"/>
          <c:tx>
            <c:strRef>
              <c:f>IV_Zem_Din!$C$98</c:f>
              <c:strCache>
                <c:ptCount val="1"/>
                <c:pt idx="0">
                  <c:v>Preces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IV_Zem_Din!$A$99:$A$106</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IV_Zem_Din!$C$99:$C$106</c:f>
              <c:numCache>
                <c:formatCode>0.0%</c:formatCode>
                <c:ptCount val="8"/>
                <c:pt idx="0">
                  <c:v>-0.25759512896497255</c:v>
                </c:pt>
                <c:pt idx="1">
                  <c:v>0.57708167071338623</c:v>
                </c:pt>
                <c:pt idx="2">
                  <c:v>0.1700145601075172</c:v>
                </c:pt>
                <c:pt idx="3">
                  <c:v>-7.4739580027927369E-2</c:v>
                </c:pt>
                <c:pt idx="4">
                  <c:v>-4.3492649933469296E-2</c:v>
                </c:pt>
                <c:pt idx="5">
                  <c:v>-0.49632644753478528</c:v>
                </c:pt>
                <c:pt idx="6">
                  <c:v>-0.70625115355888368</c:v>
                </c:pt>
                <c:pt idx="7">
                  <c:v>-0.49120330121543876</c:v>
                </c:pt>
              </c:numCache>
            </c:numRef>
          </c:val>
          <c:extLst>
            <c:ext xmlns:c16="http://schemas.microsoft.com/office/drawing/2014/chart" uri="{C3380CC4-5D6E-409C-BE32-E72D297353CC}">
              <c16:uniqueId val="{00000001-01A8-4E9E-82F2-E3D5FEE61719}"/>
            </c:ext>
          </c:extLst>
        </c:ser>
        <c:ser>
          <c:idx val="2"/>
          <c:order val="2"/>
          <c:tx>
            <c:strRef>
              <c:f>IV_Zem_Din!$D$98</c:f>
              <c:strCache>
                <c:ptCount val="1"/>
                <c:pt idx="0">
                  <c:v>Pakalpojumi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IV_Zem_Din!$A$99:$A$106</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IV_Zem_Din!$D$99:$D$106</c:f>
              <c:numCache>
                <c:formatCode>0.0%</c:formatCode>
                <c:ptCount val="8"/>
                <c:pt idx="0">
                  <c:v>0.23381370207562163</c:v>
                </c:pt>
                <c:pt idx="1">
                  <c:v>0.16327600391265806</c:v>
                </c:pt>
                <c:pt idx="2">
                  <c:v>-6.5987298509495321E-2</c:v>
                </c:pt>
                <c:pt idx="3">
                  <c:v>-5.9806506055370572E-2</c:v>
                </c:pt>
                <c:pt idx="4">
                  <c:v>-0.35246626473929688</c:v>
                </c:pt>
                <c:pt idx="5">
                  <c:v>-1.7560481755016059E-3</c:v>
                </c:pt>
                <c:pt idx="6">
                  <c:v>-0.18257377791372262</c:v>
                </c:pt>
                <c:pt idx="7">
                  <c:v>-0.19981980566194607</c:v>
                </c:pt>
              </c:numCache>
            </c:numRef>
          </c:val>
          <c:extLst>
            <c:ext xmlns:c16="http://schemas.microsoft.com/office/drawing/2014/chart" uri="{C3380CC4-5D6E-409C-BE32-E72D297353CC}">
              <c16:uniqueId val="{00000002-01A8-4E9E-82F2-E3D5FEE61719}"/>
            </c:ext>
          </c:extLst>
        </c:ser>
        <c:dLbls>
          <c:dLblPos val="outEnd"/>
          <c:showLegendKey val="0"/>
          <c:showVal val="1"/>
          <c:showCatName val="0"/>
          <c:showSerName val="0"/>
          <c:showPercent val="0"/>
          <c:showBubbleSize val="0"/>
        </c:dLbls>
        <c:gapWidth val="100"/>
        <c:overlap val="-24"/>
        <c:axId val="509150064"/>
        <c:axId val="509152688"/>
      </c:barChart>
      <c:catAx>
        <c:axId val="5091500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9152688"/>
        <c:crosses val="autoZero"/>
        <c:auto val="1"/>
        <c:lblAlgn val="ctr"/>
        <c:lblOffset val="100"/>
        <c:noMultiLvlLbl val="0"/>
      </c:catAx>
      <c:valAx>
        <c:axId val="50915268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915006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V_Izņēmumi_Din!$C$18</c:f>
              <c:strCache>
                <c:ptCount val="1"/>
                <c:pt idx="0">
                  <c:v>Pavisam kopējā līgumu summa, milj.EUR</c:v>
                </c:pt>
              </c:strCache>
            </c:strRef>
          </c:tx>
          <c:spPr>
            <a:solidFill>
              <a:schemeClr val="accent2"/>
            </a:solidFill>
            <a:ln>
              <a:noFill/>
            </a:ln>
            <a:effectLst/>
          </c:spPr>
          <c:invertIfNegative val="0"/>
          <c:dLbls>
            <c:dLbl>
              <c:idx val="0"/>
              <c:layout>
                <c:manualLayout>
                  <c:x val="-1.9308184884200938E-17"/>
                  <c:y val="0.1140024783147459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E2-4C31-9539-172CFAB106BA}"/>
                </c:ext>
              </c:extLst>
            </c:dLbl>
            <c:dLbl>
              <c:idx val="1"/>
              <c:layout>
                <c:manualLayout>
                  <c:x val="4.2127435492364399E-3"/>
                  <c:y val="7.930607187112763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FE2-4C31-9539-172CFAB106BA}"/>
                </c:ext>
              </c:extLst>
            </c:dLbl>
            <c:dLbl>
              <c:idx val="2"/>
              <c:layout>
                <c:manualLayout>
                  <c:x val="8.4254870984728034E-3"/>
                  <c:y val="8.921933085501856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E2-4C31-9539-172CFAB106BA}"/>
                </c:ext>
              </c:extLst>
            </c:dLbl>
            <c:dLbl>
              <c:idx val="3"/>
              <c:layout>
                <c:manualLayout>
                  <c:x val="6.3191153238546603E-3"/>
                  <c:y val="7.43494423791821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FE2-4C31-9539-172CFAB106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V_Izņēmumi_Din!$A$19:$A$23</c:f>
              <c:numCache>
                <c:formatCode>General</c:formatCode>
                <c:ptCount val="5"/>
                <c:pt idx="0">
                  <c:v>2012</c:v>
                </c:pt>
                <c:pt idx="1">
                  <c:v>2013</c:v>
                </c:pt>
                <c:pt idx="2">
                  <c:v>2014</c:v>
                </c:pt>
                <c:pt idx="3">
                  <c:v>2015</c:v>
                </c:pt>
                <c:pt idx="4">
                  <c:v>2016</c:v>
                </c:pt>
              </c:numCache>
            </c:numRef>
          </c:cat>
          <c:val>
            <c:numRef>
              <c:f>V_Izņēmumi_Din!$C$19:$C$23</c:f>
              <c:numCache>
                <c:formatCode>#\ ##0.0</c:formatCode>
                <c:ptCount val="5"/>
                <c:pt idx="0">
                  <c:v>1804.590796</c:v>
                </c:pt>
                <c:pt idx="1">
                  <c:v>1305.1158720000001</c:v>
                </c:pt>
                <c:pt idx="2">
                  <c:v>1632.9772359999999</c:v>
                </c:pt>
                <c:pt idx="3">
                  <c:v>1296.767325</c:v>
                </c:pt>
                <c:pt idx="4">
                  <c:v>1529.6</c:v>
                </c:pt>
              </c:numCache>
            </c:numRef>
          </c:val>
          <c:extLst>
            <c:ext xmlns:c16="http://schemas.microsoft.com/office/drawing/2014/chart" uri="{C3380CC4-5D6E-409C-BE32-E72D297353CC}">
              <c16:uniqueId val="{00000001-DFE2-4C31-9539-172CFAB106BA}"/>
            </c:ext>
          </c:extLst>
        </c:ser>
        <c:dLbls>
          <c:showLegendKey val="0"/>
          <c:showVal val="0"/>
          <c:showCatName val="0"/>
          <c:showSerName val="0"/>
          <c:showPercent val="0"/>
          <c:showBubbleSize val="0"/>
        </c:dLbls>
        <c:gapWidth val="219"/>
        <c:axId val="463793632"/>
        <c:axId val="463791664"/>
      </c:barChart>
      <c:lineChart>
        <c:grouping val="standard"/>
        <c:varyColors val="0"/>
        <c:ser>
          <c:idx val="0"/>
          <c:order val="0"/>
          <c:tx>
            <c:strRef>
              <c:f>V_Izņēmumi_Din!$B$18</c:f>
              <c:strCache>
                <c:ptCount val="1"/>
                <c:pt idx="0">
                  <c:v>Izņēmumu piemēroto līgumu summas īpatsvars (%)</c:v>
                </c:pt>
              </c:strCache>
            </c:strRef>
          </c:tx>
          <c:spPr>
            <a:ln w="28575" cap="rnd">
              <a:solidFill>
                <a:schemeClr val="accent1"/>
              </a:solidFill>
              <a:round/>
            </a:ln>
            <a:effectLst/>
          </c:spPr>
          <c:marker>
            <c:symbol val="none"/>
          </c:marker>
          <c:dLbls>
            <c:dLbl>
              <c:idx val="3"/>
              <c:layout>
                <c:manualLayout>
                  <c:x val="2.5276461295418488E-2"/>
                  <c:y val="9.913258983890999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E2-4C31-9539-172CFAB106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V_Izņēmumi_Din!$A$19:$A$23</c:f>
              <c:numCache>
                <c:formatCode>General</c:formatCode>
                <c:ptCount val="5"/>
                <c:pt idx="0">
                  <c:v>2012</c:v>
                </c:pt>
                <c:pt idx="1">
                  <c:v>2013</c:v>
                </c:pt>
                <c:pt idx="2">
                  <c:v>2014</c:v>
                </c:pt>
                <c:pt idx="3">
                  <c:v>2015</c:v>
                </c:pt>
                <c:pt idx="4">
                  <c:v>2016</c:v>
                </c:pt>
              </c:numCache>
            </c:numRef>
          </c:cat>
          <c:val>
            <c:numRef>
              <c:f>V_Izņēmumi_Din!$B$19:$B$23</c:f>
              <c:numCache>
                <c:formatCode>0.0%</c:formatCode>
                <c:ptCount val="5"/>
                <c:pt idx="0">
                  <c:v>0.17100000000000001</c:v>
                </c:pt>
                <c:pt idx="1">
                  <c:v>3.7999999999999999E-2</c:v>
                </c:pt>
                <c:pt idx="2">
                  <c:v>0.16400000000000001</c:v>
                </c:pt>
                <c:pt idx="3">
                  <c:v>9.8000000000000004E-2</c:v>
                </c:pt>
                <c:pt idx="4">
                  <c:v>7.9000000000000001E-2</c:v>
                </c:pt>
              </c:numCache>
            </c:numRef>
          </c:val>
          <c:smooth val="0"/>
          <c:extLst>
            <c:ext xmlns:c16="http://schemas.microsoft.com/office/drawing/2014/chart" uri="{C3380CC4-5D6E-409C-BE32-E72D297353CC}">
              <c16:uniqueId val="{00000000-DFE2-4C31-9539-172CFAB106BA}"/>
            </c:ext>
          </c:extLst>
        </c:ser>
        <c:dLbls>
          <c:showLegendKey val="0"/>
          <c:showVal val="0"/>
          <c:showCatName val="0"/>
          <c:showSerName val="0"/>
          <c:showPercent val="0"/>
          <c:showBubbleSize val="0"/>
        </c:dLbls>
        <c:marker val="1"/>
        <c:smooth val="0"/>
        <c:axId val="397686128"/>
        <c:axId val="397686456"/>
      </c:lineChart>
      <c:catAx>
        <c:axId val="397686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7686456"/>
        <c:crosses val="autoZero"/>
        <c:auto val="1"/>
        <c:lblAlgn val="ctr"/>
        <c:lblOffset val="100"/>
        <c:noMultiLvlLbl val="0"/>
      </c:catAx>
      <c:valAx>
        <c:axId val="3976864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7686128"/>
        <c:crosses val="autoZero"/>
        <c:crossBetween val="between"/>
      </c:valAx>
      <c:valAx>
        <c:axId val="463791664"/>
        <c:scaling>
          <c:orientation val="minMax"/>
        </c:scaling>
        <c:delete val="0"/>
        <c:axPos val="r"/>
        <c:numFmt formatCode="#\ ##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63793632"/>
        <c:crosses val="max"/>
        <c:crossBetween val="between"/>
      </c:valAx>
      <c:catAx>
        <c:axId val="463793632"/>
        <c:scaling>
          <c:orientation val="minMax"/>
        </c:scaling>
        <c:delete val="1"/>
        <c:axPos val="b"/>
        <c:numFmt formatCode="General" sourceLinked="1"/>
        <c:majorTickMark val="out"/>
        <c:minorTickMark val="none"/>
        <c:tickLblPos val="nextTo"/>
        <c:crossAx val="46379166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153836129690206E-2"/>
          <c:y val="5.0925925925925923E-2"/>
          <c:w val="0.82409518977295515"/>
          <c:h val="0.69471211668161736"/>
        </c:manualLayout>
      </c:layout>
      <c:barChart>
        <c:barDir val="col"/>
        <c:grouping val="clustered"/>
        <c:varyColors val="0"/>
        <c:ser>
          <c:idx val="2"/>
          <c:order val="2"/>
          <c:tx>
            <c:strRef>
              <c:f>V_Izņēmumi_Din!$D$3</c:f>
              <c:strCache>
                <c:ptCount val="1"/>
                <c:pt idx="0">
                  <c:v>Noslēgto līgumu summa (milj.EUR)</c:v>
                </c:pt>
              </c:strCache>
            </c:strRef>
          </c:tx>
          <c:spPr>
            <a:solidFill>
              <a:schemeClr val="accent3"/>
            </a:solidFill>
            <a:ln>
              <a:noFill/>
            </a:ln>
            <a:effectLst/>
          </c:spPr>
          <c:invertIfNegative val="0"/>
          <c:dLbls>
            <c:dLbl>
              <c:idx val="2"/>
              <c:layout>
                <c:manualLayout>
                  <c:x val="0"/>
                  <c:y val="0.1392405063291139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1E8-44C7-84FE-B203B591C6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V_Izņēmumi_Din!$A$4:$A$8</c:f>
              <c:numCache>
                <c:formatCode>General</c:formatCode>
                <c:ptCount val="5"/>
                <c:pt idx="0">
                  <c:v>2012</c:v>
                </c:pt>
                <c:pt idx="1">
                  <c:v>2013</c:v>
                </c:pt>
                <c:pt idx="2">
                  <c:v>2014</c:v>
                </c:pt>
                <c:pt idx="3">
                  <c:v>2015</c:v>
                </c:pt>
                <c:pt idx="4">
                  <c:v>2016</c:v>
                </c:pt>
              </c:numCache>
            </c:numRef>
          </c:cat>
          <c:val>
            <c:numRef>
              <c:f>V_Izņēmumi_Din!$D$4:$D$8</c:f>
              <c:numCache>
                <c:formatCode>#\ ##0.0</c:formatCode>
                <c:ptCount val="5"/>
                <c:pt idx="0">
                  <c:v>307.912305</c:v>
                </c:pt>
                <c:pt idx="1">
                  <c:v>50.011688999999997</c:v>
                </c:pt>
                <c:pt idx="2">
                  <c:v>268.50295699999998</c:v>
                </c:pt>
                <c:pt idx="3">
                  <c:v>126.51613500000001</c:v>
                </c:pt>
                <c:pt idx="4">
                  <c:v>121.4</c:v>
                </c:pt>
              </c:numCache>
            </c:numRef>
          </c:val>
          <c:extLst>
            <c:ext xmlns:c16="http://schemas.microsoft.com/office/drawing/2014/chart" uri="{C3380CC4-5D6E-409C-BE32-E72D297353CC}">
              <c16:uniqueId val="{00000002-71E8-44C7-84FE-B203B591C61F}"/>
            </c:ext>
          </c:extLst>
        </c:ser>
        <c:dLbls>
          <c:showLegendKey val="0"/>
          <c:showVal val="1"/>
          <c:showCatName val="0"/>
          <c:showSerName val="0"/>
          <c:showPercent val="0"/>
          <c:showBubbleSize val="0"/>
        </c:dLbls>
        <c:gapWidth val="219"/>
        <c:axId val="406525920"/>
        <c:axId val="406520016"/>
      </c:barChart>
      <c:lineChart>
        <c:grouping val="standard"/>
        <c:varyColors val="0"/>
        <c:ser>
          <c:idx val="0"/>
          <c:order val="0"/>
          <c:tx>
            <c:strRef>
              <c:f>V_Izņēmumi_Din!$B$3</c:f>
              <c:strCache>
                <c:ptCount val="1"/>
                <c:pt idx="0">
                  <c:v>Pakalpojumu sniedzēju skaits</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V_Izņēmumi_Din!$A$4:$A$8</c:f>
              <c:numCache>
                <c:formatCode>General</c:formatCode>
                <c:ptCount val="5"/>
                <c:pt idx="0">
                  <c:v>2012</c:v>
                </c:pt>
                <c:pt idx="1">
                  <c:v>2013</c:v>
                </c:pt>
                <c:pt idx="2">
                  <c:v>2014</c:v>
                </c:pt>
                <c:pt idx="3">
                  <c:v>2015</c:v>
                </c:pt>
                <c:pt idx="4">
                  <c:v>2016</c:v>
                </c:pt>
              </c:numCache>
            </c:numRef>
          </c:cat>
          <c:val>
            <c:numRef>
              <c:f>V_Izņēmumi_Din!$B$4:$B$8</c:f>
              <c:numCache>
                <c:formatCode>General</c:formatCode>
                <c:ptCount val="5"/>
                <c:pt idx="2">
                  <c:v>41</c:v>
                </c:pt>
                <c:pt idx="3">
                  <c:v>43</c:v>
                </c:pt>
                <c:pt idx="4">
                  <c:v>48</c:v>
                </c:pt>
              </c:numCache>
            </c:numRef>
          </c:val>
          <c:smooth val="0"/>
          <c:extLst>
            <c:ext xmlns:c16="http://schemas.microsoft.com/office/drawing/2014/chart" uri="{C3380CC4-5D6E-409C-BE32-E72D297353CC}">
              <c16:uniqueId val="{00000000-71E8-44C7-84FE-B203B591C61F}"/>
            </c:ext>
          </c:extLst>
        </c:ser>
        <c:ser>
          <c:idx val="1"/>
          <c:order val="1"/>
          <c:tx>
            <c:strRef>
              <c:f>V_Izņēmumi_Din!$C$3</c:f>
              <c:strCache>
                <c:ptCount val="1"/>
                <c:pt idx="0">
                  <c:v>Noslēgto līgumu skaits</c:v>
                </c:pt>
              </c:strCache>
            </c:strRef>
          </c:tx>
          <c:spPr>
            <a:ln w="28575" cap="rnd">
              <a:solidFill>
                <a:schemeClr val="accent2"/>
              </a:solidFill>
              <a:round/>
            </a:ln>
            <a:effectLst/>
          </c:spPr>
          <c:marker>
            <c:symbol val="none"/>
          </c:marker>
          <c:dLbls>
            <c:dLbl>
              <c:idx val="2"/>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71E8-44C7-84FE-B203B591C6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V_Izņēmumi_Din!$A$4:$A$8</c:f>
              <c:numCache>
                <c:formatCode>General</c:formatCode>
                <c:ptCount val="5"/>
                <c:pt idx="0">
                  <c:v>2012</c:v>
                </c:pt>
                <c:pt idx="1">
                  <c:v>2013</c:v>
                </c:pt>
                <c:pt idx="2">
                  <c:v>2014</c:v>
                </c:pt>
                <c:pt idx="3">
                  <c:v>2015</c:v>
                </c:pt>
                <c:pt idx="4">
                  <c:v>2016</c:v>
                </c:pt>
              </c:numCache>
            </c:numRef>
          </c:cat>
          <c:val>
            <c:numRef>
              <c:f>V_Izņēmumi_Din!$C$4:$C$8</c:f>
              <c:numCache>
                <c:formatCode>General</c:formatCode>
                <c:ptCount val="5"/>
                <c:pt idx="0">
                  <c:v>71</c:v>
                </c:pt>
                <c:pt idx="1">
                  <c:v>81</c:v>
                </c:pt>
                <c:pt idx="2">
                  <c:v>164</c:v>
                </c:pt>
                <c:pt idx="3">
                  <c:v>188</c:v>
                </c:pt>
                <c:pt idx="4">
                  <c:v>246</c:v>
                </c:pt>
              </c:numCache>
            </c:numRef>
          </c:val>
          <c:smooth val="0"/>
          <c:extLst>
            <c:ext xmlns:c16="http://schemas.microsoft.com/office/drawing/2014/chart" uri="{C3380CC4-5D6E-409C-BE32-E72D297353CC}">
              <c16:uniqueId val="{00000001-71E8-44C7-84FE-B203B591C61F}"/>
            </c:ext>
          </c:extLst>
        </c:ser>
        <c:ser>
          <c:idx val="3"/>
          <c:order val="3"/>
          <c:tx>
            <c:strRef>
              <c:f>V_Izņēmumi_Din!$E$3</c:f>
              <c:strCache>
                <c:ptCount val="1"/>
                <c:pt idx="0">
                  <c:v>Vidējā līguma vērtība, milj.EUR</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V_Izņēmumi_Din!$A$4:$A$8</c:f>
              <c:numCache>
                <c:formatCode>General</c:formatCode>
                <c:ptCount val="5"/>
                <c:pt idx="0">
                  <c:v>2012</c:v>
                </c:pt>
                <c:pt idx="1">
                  <c:v>2013</c:v>
                </c:pt>
                <c:pt idx="2">
                  <c:v>2014</c:v>
                </c:pt>
                <c:pt idx="3">
                  <c:v>2015</c:v>
                </c:pt>
                <c:pt idx="4">
                  <c:v>2016</c:v>
                </c:pt>
              </c:numCache>
            </c:numRef>
          </c:cat>
          <c:val>
            <c:numRef>
              <c:f>V_Izņēmumi_Din!$E$4:$E$8</c:f>
              <c:numCache>
                <c:formatCode>#\ ##0.0</c:formatCode>
                <c:ptCount val="5"/>
                <c:pt idx="0">
                  <c:v>4.3367930281690139</c:v>
                </c:pt>
                <c:pt idx="1">
                  <c:v>0.61742825925925926</c:v>
                </c:pt>
                <c:pt idx="2">
                  <c:v>1.6372131524390243</c:v>
                </c:pt>
                <c:pt idx="3">
                  <c:v>0.67295816489361704</c:v>
                </c:pt>
                <c:pt idx="4">
                  <c:v>0.49349593495934962</c:v>
                </c:pt>
              </c:numCache>
            </c:numRef>
          </c:val>
          <c:smooth val="0"/>
          <c:extLst>
            <c:ext xmlns:c16="http://schemas.microsoft.com/office/drawing/2014/chart" uri="{C3380CC4-5D6E-409C-BE32-E72D297353CC}">
              <c16:uniqueId val="{00000003-71E8-44C7-84FE-B203B591C61F}"/>
            </c:ext>
          </c:extLst>
        </c:ser>
        <c:dLbls>
          <c:showLegendKey val="0"/>
          <c:showVal val="1"/>
          <c:showCatName val="0"/>
          <c:showSerName val="0"/>
          <c:showPercent val="0"/>
          <c:showBubbleSize val="0"/>
        </c:dLbls>
        <c:marker val="1"/>
        <c:smooth val="0"/>
        <c:axId val="406514440"/>
        <c:axId val="406514768"/>
      </c:lineChart>
      <c:catAx>
        <c:axId val="406514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6514768"/>
        <c:crosses val="autoZero"/>
        <c:auto val="1"/>
        <c:lblAlgn val="ctr"/>
        <c:lblOffset val="100"/>
        <c:noMultiLvlLbl val="0"/>
      </c:catAx>
      <c:valAx>
        <c:axId val="406514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6514440"/>
        <c:crosses val="autoZero"/>
        <c:crossBetween val="between"/>
      </c:valAx>
      <c:valAx>
        <c:axId val="406520016"/>
        <c:scaling>
          <c:orientation val="minMax"/>
        </c:scaling>
        <c:delete val="0"/>
        <c:axPos val="r"/>
        <c:numFmt formatCode="#\ ##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6525920"/>
        <c:crosses val="max"/>
        <c:crossBetween val="between"/>
      </c:valAx>
      <c:catAx>
        <c:axId val="406525920"/>
        <c:scaling>
          <c:orientation val="minMax"/>
        </c:scaling>
        <c:delete val="1"/>
        <c:axPos val="b"/>
        <c:numFmt formatCode="General" sourceLinked="1"/>
        <c:majorTickMark val="out"/>
        <c:minorTickMark val="none"/>
        <c:tickLblPos val="nextTo"/>
        <c:crossAx val="4065200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126771221142678E-2"/>
          <c:y val="4.7619047619047616E-2"/>
          <c:w val="0.87407092235381612"/>
          <c:h val="0.61331765347513378"/>
        </c:manualLayout>
      </c:layout>
      <c:scatterChart>
        <c:scatterStyle val="smoothMarker"/>
        <c:varyColors val="0"/>
        <c:ser>
          <c:idx val="0"/>
          <c:order val="0"/>
          <c:tx>
            <c:strRef>
              <c:f>II_Kopējā_dinamika!$B$33</c:f>
              <c:strCache>
                <c:ptCount val="1"/>
                <c:pt idx="0">
                  <c:v>Virs ES līgumcenu sliekšna līgumu summu īpatsvars (%)</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dLbls>
            <c:dLbl>
              <c:idx val="2"/>
              <c:layout>
                <c:manualLayout>
                  <c:x val="-4.4536082474226878E-2"/>
                  <c:y val="-0.1411690726159230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66B-4FC1-8B8C-C29106148A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II_Kopējā_dinamika!$A$34:$A$38</c:f>
              <c:numCache>
                <c:formatCode>General</c:formatCode>
                <c:ptCount val="5"/>
                <c:pt idx="0">
                  <c:v>2012</c:v>
                </c:pt>
                <c:pt idx="1">
                  <c:v>2013</c:v>
                </c:pt>
                <c:pt idx="2">
                  <c:v>2014</c:v>
                </c:pt>
                <c:pt idx="3">
                  <c:v>2015</c:v>
                </c:pt>
                <c:pt idx="4">
                  <c:v>2016</c:v>
                </c:pt>
              </c:numCache>
            </c:numRef>
          </c:xVal>
          <c:yVal>
            <c:numRef>
              <c:f>II_Kopējā_dinamika!$B$34:$B$38</c:f>
              <c:numCache>
                <c:formatCode>0.0%</c:formatCode>
                <c:ptCount val="5"/>
                <c:pt idx="0">
                  <c:v>0.54900000000000004</c:v>
                </c:pt>
                <c:pt idx="1">
                  <c:v>0.56499999999999995</c:v>
                </c:pt>
                <c:pt idx="2">
                  <c:v>0.41899999999999998</c:v>
                </c:pt>
                <c:pt idx="3">
                  <c:v>0.28299999999999997</c:v>
                </c:pt>
                <c:pt idx="4">
                  <c:v>0.42399999999999999</c:v>
                </c:pt>
              </c:numCache>
            </c:numRef>
          </c:yVal>
          <c:smooth val="1"/>
          <c:extLst>
            <c:ext xmlns:c16="http://schemas.microsoft.com/office/drawing/2014/chart" uri="{C3380CC4-5D6E-409C-BE32-E72D297353CC}">
              <c16:uniqueId val="{00000000-666B-4FC1-8B8C-C29106148A8C}"/>
            </c:ext>
          </c:extLst>
        </c:ser>
        <c:ser>
          <c:idx val="1"/>
          <c:order val="1"/>
          <c:tx>
            <c:strRef>
              <c:f>II_Kopējā_dinamika!$C$33</c:f>
              <c:strCache>
                <c:ptCount val="1"/>
                <c:pt idx="0">
                  <c:v>Zem ES līgumcenu sliekšņa līgumu summas īpatsvars (%)</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dLbls>
            <c:dLbl>
              <c:idx val="2"/>
              <c:layout>
                <c:manualLayout>
                  <c:x val="-8.5773195876288733E-2"/>
                  <c:y val="-3.9317220764071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66B-4FC1-8B8C-C29106148A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II_Kopējā_dinamika!$A$34:$A$38</c:f>
              <c:numCache>
                <c:formatCode>General</c:formatCode>
                <c:ptCount val="5"/>
                <c:pt idx="0">
                  <c:v>2012</c:v>
                </c:pt>
                <c:pt idx="1">
                  <c:v>2013</c:v>
                </c:pt>
                <c:pt idx="2">
                  <c:v>2014</c:v>
                </c:pt>
                <c:pt idx="3">
                  <c:v>2015</c:v>
                </c:pt>
                <c:pt idx="4">
                  <c:v>2016</c:v>
                </c:pt>
              </c:numCache>
            </c:numRef>
          </c:xVal>
          <c:yVal>
            <c:numRef>
              <c:f>II_Kopējā_dinamika!$C$34:$C$38</c:f>
              <c:numCache>
                <c:formatCode>0.0%</c:formatCode>
                <c:ptCount val="5"/>
                <c:pt idx="0">
                  <c:v>0.28000000000000003</c:v>
                </c:pt>
                <c:pt idx="1">
                  <c:v>0.39700000000000002</c:v>
                </c:pt>
                <c:pt idx="2">
                  <c:v>0.41699999999999998</c:v>
                </c:pt>
                <c:pt idx="3">
                  <c:v>0.61899999999999999</c:v>
                </c:pt>
                <c:pt idx="4">
                  <c:v>0.497</c:v>
                </c:pt>
              </c:numCache>
            </c:numRef>
          </c:yVal>
          <c:smooth val="1"/>
          <c:extLst>
            <c:ext xmlns:c16="http://schemas.microsoft.com/office/drawing/2014/chart" uri="{C3380CC4-5D6E-409C-BE32-E72D297353CC}">
              <c16:uniqueId val="{00000001-666B-4FC1-8B8C-C29106148A8C}"/>
            </c:ext>
          </c:extLst>
        </c:ser>
        <c:ser>
          <c:idx val="2"/>
          <c:order val="2"/>
          <c:tx>
            <c:strRef>
              <c:f>II_Kopējā_dinamika!$D$33</c:f>
              <c:strCache>
                <c:ptCount val="1"/>
                <c:pt idx="0">
                  <c:v>Izņēmumu piemēroto līgumu summas īpatsvars (%)</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II_Kopējā_dinamika!$A$34:$A$38</c:f>
              <c:numCache>
                <c:formatCode>General</c:formatCode>
                <c:ptCount val="5"/>
                <c:pt idx="0">
                  <c:v>2012</c:v>
                </c:pt>
                <c:pt idx="1">
                  <c:v>2013</c:v>
                </c:pt>
                <c:pt idx="2">
                  <c:v>2014</c:v>
                </c:pt>
                <c:pt idx="3">
                  <c:v>2015</c:v>
                </c:pt>
                <c:pt idx="4">
                  <c:v>2016</c:v>
                </c:pt>
              </c:numCache>
            </c:numRef>
          </c:xVal>
          <c:yVal>
            <c:numRef>
              <c:f>II_Kopējā_dinamika!$D$34:$D$38</c:f>
              <c:numCache>
                <c:formatCode>0.0%</c:formatCode>
                <c:ptCount val="5"/>
                <c:pt idx="0">
                  <c:v>0.17100000000000001</c:v>
                </c:pt>
                <c:pt idx="1">
                  <c:v>3.7999999999999999E-2</c:v>
                </c:pt>
                <c:pt idx="2">
                  <c:v>0.16400000000000001</c:v>
                </c:pt>
                <c:pt idx="3">
                  <c:v>9.8000000000000004E-2</c:v>
                </c:pt>
                <c:pt idx="4">
                  <c:v>7.9000000000000001E-2</c:v>
                </c:pt>
              </c:numCache>
            </c:numRef>
          </c:yVal>
          <c:smooth val="1"/>
          <c:extLst>
            <c:ext xmlns:c16="http://schemas.microsoft.com/office/drawing/2014/chart" uri="{C3380CC4-5D6E-409C-BE32-E72D297353CC}">
              <c16:uniqueId val="{00000002-666B-4FC1-8B8C-C29106148A8C}"/>
            </c:ext>
          </c:extLst>
        </c:ser>
        <c:dLbls>
          <c:showLegendKey val="0"/>
          <c:showVal val="0"/>
          <c:showCatName val="0"/>
          <c:showSerName val="0"/>
          <c:showPercent val="0"/>
          <c:showBubbleSize val="0"/>
        </c:dLbls>
        <c:axId val="397693672"/>
        <c:axId val="397693344"/>
      </c:scatterChart>
      <c:valAx>
        <c:axId val="397693672"/>
        <c:scaling>
          <c:orientation val="minMax"/>
          <c:max val="2016"/>
          <c:min val="201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7693344"/>
        <c:crosses val="autoZero"/>
        <c:crossBetween val="midCat"/>
        <c:majorUnit val="1"/>
      </c:valAx>
      <c:valAx>
        <c:axId val="3976933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769367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V_Izņēmumi_Din!$B$28</c:f>
              <c:strCache>
                <c:ptCount val="1"/>
                <c:pt idx="0">
                  <c:v>9.pants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V_Izņēmumi_Din!$A$29:$A$33</c:f>
              <c:strCache>
                <c:ptCount val="5"/>
                <c:pt idx="0">
                  <c:v>2012.gads</c:v>
                </c:pt>
                <c:pt idx="1">
                  <c:v>2013.gads</c:v>
                </c:pt>
                <c:pt idx="2">
                  <c:v>2014.gads</c:v>
                </c:pt>
                <c:pt idx="3">
                  <c:v>2015.gads</c:v>
                </c:pt>
                <c:pt idx="4">
                  <c:v>2016.gads</c:v>
                </c:pt>
              </c:strCache>
            </c:strRef>
          </c:cat>
          <c:val>
            <c:numRef>
              <c:f>V_Izņēmumi_Din!$B$29:$B$33</c:f>
              <c:numCache>
                <c:formatCode>0.0</c:formatCode>
                <c:ptCount val="5"/>
                <c:pt idx="0">
                  <c:v>281</c:v>
                </c:pt>
                <c:pt idx="1">
                  <c:v>22.5</c:v>
                </c:pt>
                <c:pt idx="2">
                  <c:v>229.6</c:v>
                </c:pt>
                <c:pt idx="3">
                  <c:v>102.8</c:v>
                </c:pt>
                <c:pt idx="4">
                  <c:v>100.1</c:v>
                </c:pt>
              </c:numCache>
            </c:numRef>
          </c:val>
          <c:extLst>
            <c:ext xmlns:c16="http://schemas.microsoft.com/office/drawing/2014/chart" uri="{C3380CC4-5D6E-409C-BE32-E72D297353CC}">
              <c16:uniqueId val="{00000000-5B4E-4327-A4B8-164DDED8D36D}"/>
            </c:ext>
          </c:extLst>
        </c:ser>
        <c:ser>
          <c:idx val="1"/>
          <c:order val="1"/>
          <c:tx>
            <c:strRef>
              <c:f>V_Izņēmumi_Din!$C$28</c:f>
              <c:strCache>
                <c:ptCount val="1"/>
                <c:pt idx="0">
                  <c:v>10.pants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V_Izņēmumi_Din!$A$29:$A$33</c:f>
              <c:strCache>
                <c:ptCount val="5"/>
                <c:pt idx="0">
                  <c:v>2012.gads</c:v>
                </c:pt>
                <c:pt idx="1">
                  <c:v>2013.gads</c:v>
                </c:pt>
                <c:pt idx="2">
                  <c:v>2014.gads</c:v>
                </c:pt>
                <c:pt idx="3">
                  <c:v>2015.gads</c:v>
                </c:pt>
                <c:pt idx="4">
                  <c:v>2016.gads</c:v>
                </c:pt>
              </c:strCache>
            </c:strRef>
          </c:cat>
          <c:val>
            <c:numRef>
              <c:f>V_Izņēmumi_Din!$C$29:$C$33</c:f>
              <c:numCache>
                <c:formatCode>0.0</c:formatCode>
                <c:ptCount val="5"/>
                <c:pt idx="0">
                  <c:v>26.9</c:v>
                </c:pt>
                <c:pt idx="1">
                  <c:v>27.5</c:v>
                </c:pt>
                <c:pt idx="2">
                  <c:v>38.9</c:v>
                </c:pt>
                <c:pt idx="3">
                  <c:v>23.7</c:v>
                </c:pt>
                <c:pt idx="4">
                  <c:v>21.3</c:v>
                </c:pt>
              </c:numCache>
            </c:numRef>
          </c:val>
          <c:extLst>
            <c:ext xmlns:c16="http://schemas.microsoft.com/office/drawing/2014/chart" uri="{C3380CC4-5D6E-409C-BE32-E72D297353CC}">
              <c16:uniqueId val="{00000001-5B4E-4327-A4B8-164DDED8D36D}"/>
            </c:ext>
          </c:extLst>
        </c:ser>
        <c:dLbls>
          <c:showLegendKey val="0"/>
          <c:showVal val="0"/>
          <c:showCatName val="0"/>
          <c:showSerName val="0"/>
          <c:showPercent val="0"/>
          <c:showBubbleSize val="0"/>
        </c:dLbls>
        <c:gapWidth val="219"/>
        <c:overlap val="-27"/>
        <c:axId val="461389248"/>
        <c:axId val="461384000"/>
      </c:barChart>
      <c:lineChart>
        <c:grouping val="standard"/>
        <c:varyColors val="0"/>
        <c:ser>
          <c:idx val="2"/>
          <c:order val="2"/>
          <c:tx>
            <c:strRef>
              <c:f>V_Izņēmumi_Din!$D$28</c:f>
              <c:strCache>
                <c:ptCount val="1"/>
                <c:pt idx="0">
                  <c:v>Vidējā 9.panta līgumu vērtība (%)</c:v>
                </c:pt>
              </c:strCache>
            </c:strRef>
          </c:tx>
          <c:spPr>
            <a:ln w="28575" cap="rnd">
              <a:solidFill>
                <a:schemeClr val="accent3"/>
              </a:solidFill>
              <a:round/>
            </a:ln>
            <a:effectLst/>
          </c:spPr>
          <c:marker>
            <c:symbol val="none"/>
          </c:marker>
          <c:dLbls>
            <c:dLbl>
              <c:idx val="0"/>
              <c:layout>
                <c:manualLayout>
                  <c:x val="-1.1204479815703069E-2"/>
                  <c:y val="-9.99999708369871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D6-4F79-BBA1-3925316BF160}"/>
                </c:ext>
              </c:extLst>
            </c:dLbl>
            <c:dLbl>
              <c:idx val="1"/>
              <c:layout>
                <c:manualLayout>
                  <c:x val="1.5686271741984299E-2"/>
                  <c:y val="-8.8888862966210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D6-4F79-BBA1-3925316BF160}"/>
                </c:ext>
              </c:extLst>
            </c:dLbl>
            <c:dLbl>
              <c:idx val="2"/>
              <c:layout>
                <c:manualLayout>
                  <c:x val="2.2408959631406138E-2"/>
                  <c:y val="-5.55555393538817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D6-4F79-BBA1-3925316BF160}"/>
                </c:ext>
              </c:extLst>
            </c:dLbl>
            <c:dLbl>
              <c:idx val="3"/>
              <c:layout>
                <c:manualLayout>
                  <c:x val="4.0336127336531052E-2"/>
                  <c:y val="-4.4444431483105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D6-4F79-BBA1-3925316BF160}"/>
                </c:ext>
              </c:extLst>
            </c:dLbl>
            <c:dLbl>
              <c:idx val="4"/>
              <c:layout>
                <c:manualLayout>
                  <c:x val="4.0336127336531052E-2"/>
                  <c:y val="-1.4814810494368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BD6-4F79-BBA1-3925316BF16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V_Izņēmumi_Din!$A$29:$A$33</c:f>
              <c:strCache>
                <c:ptCount val="5"/>
                <c:pt idx="0">
                  <c:v>2012.gads</c:v>
                </c:pt>
                <c:pt idx="1">
                  <c:v>2013.gads</c:v>
                </c:pt>
                <c:pt idx="2">
                  <c:v>2014.gads</c:v>
                </c:pt>
                <c:pt idx="3">
                  <c:v>2015.gads</c:v>
                </c:pt>
                <c:pt idx="4">
                  <c:v>2016.gads</c:v>
                </c:pt>
              </c:strCache>
            </c:strRef>
          </c:cat>
          <c:val>
            <c:numRef>
              <c:f>V_Izņēmumi_Din!$D$29:$D$33</c:f>
              <c:numCache>
                <c:formatCode>0.0%</c:formatCode>
                <c:ptCount val="5"/>
                <c:pt idx="0">
                  <c:v>1.6E-2</c:v>
                </c:pt>
                <c:pt idx="1">
                  <c:v>1.4E-2</c:v>
                </c:pt>
                <c:pt idx="2">
                  <c:v>6.0000000000000001E-3</c:v>
                </c:pt>
                <c:pt idx="3">
                  <c:v>6.0000000000000001E-3</c:v>
                </c:pt>
                <c:pt idx="4">
                  <c:v>6.0000000000000001E-3</c:v>
                </c:pt>
              </c:numCache>
            </c:numRef>
          </c:val>
          <c:smooth val="0"/>
          <c:extLst>
            <c:ext xmlns:c16="http://schemas.microsoft.com/office/drawing/2014/chart" uri="{C3380CC4-5D6E-409C-BE32-E72D297353CC}">
              <c16:uniqueId val="{00000002-5B4E-4327-A4B8-164DDED8D36D}"/>
            </c:ext>
          </c:extLst>
        </c:ser>
        <c:ser>
          <c:idx val="3"/>
          <c:order val="3"/>
          <c:tx>
            <c:strRef>
              <c:f>V_Izņēmumi_Din!$E$28</c:f>
              <c:strCache>
                <c:ptCount val="1"/>
                <c:pt idx="0">
                  <c:v>Vidējā 10.panta līgumu vērtība (%)</c:v>
                </c:pt>
              </c:strCache>
            </c:strRef>
          </c:tx>
          <c:spPr>
            <a:ln w="28575" cap="rnd">
              <a:solidFill>
                <a:schemeClr val="accent4"/>
              </a:solidFill>
              <a:round/>
            </a:ln>
            <a:effectLst/>
          </c:spPr>
          <c:marker>
            <c:symbol val="none"/>
          </c:marker>
          <c:dLbls>
            <c:dLbl>
              <c:idx val="4"/>
              <c:layout>
                <c:manualLayout>
                  <c:x val="0"/>
                  <c:y val="-9.99999708369872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BD6-4F79-BBA1-3925316BF16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V_Izņēmumi_Din!$A$29:$A$33</c:f>
              <c:strCache>
                <c:ptCount val="5"/>
                <c:pt idx="0">
                  <c:v>2012.gads</c:v>
                </c:pt>
                <c:pt idx="1">
                  <c:v>2013.gads</c:v>
                </c:pt>
                <c:pt idx="2">
                  <c:v>2014.gads</c:v>
                </c:pt>
                <c:pt idx="3">
                  <c:v>2015.gads</c:v>
                </c:pt>
                <c:pt idx="4">
                  <c:v>2016.gads</c:v>
                </c:pt>
              </c:strCache>
            </c:strRef>
          </c:cat>
          <c:val>
            <c:numRef>
              <c:f>V_Izņēmumi_Din!$E$29:$E$33</c:f>
              <c:numCache>
                <c:formatCode>0.0%</c:formatCode>
                <c:ptCount val="5"/>
                <c:pt idx="0">
                  <c:v>0.125</c:v>
                </c:pt>
                <c:pt idx="1">
                  <c:v>8.3000000000000004E-2</c:v>
                </c:pt>
                <c:pt idx="2">
                  <c:v>0.1</c:v>
                </c:pt>
                <c:pt idx="3">
                  <c:v>0.125</c:v>
                </c:pt>
                <c:pt idx="4">
                  <c:v>1.3999999999999999E-2</c:v>
                </c:pt>
              </c:numCache>
            </c:numRef>
          </c:val>
          <c:smooth val="0"/>
          <c:extLst>
            <c:ext xmlns:c16="http://schemas.microsoft.com/office/drawing/2014/chart" uri="{C3380CC4-5D6E-409C-BE32-E72D297353CC}">
              <c16:uniqueId val="{00000003-5B4E-4327-A4B8-164DDED8D36D}"/>
            </c:ext>
          </c:extLst>
        </c:ser>
        <c:dLbls>
          <c:showLegendKey val="0"/>
          <c:showVal val="0"/>
          <c:showCatName val="0"/>
          <c:showSerName val="0"/>
          <c:showPercent val="0"/>
          <c:showBubbleSize val="0"/>
        </c:dLbls>
        <c:marker val="1"/>
        <c:smooth val="0"/>
        <c:axId val="461387936"/>
        <c:axId val="461386624"/>
      </c:lineChart>
      <c:catAx>
        <c:axId val="461389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61384000"/>
        <c:crosses val="autoZero"/>
        <c:auto val="1"/>
        <c:lblAlgn val="ctr"/>
        <c:lblOffset val="100"/>
        <c:noMultiLvlLbl val="0"/>
      </c:catAx>
      <c:valAx>
        <c:axId val="4613840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Noslēgtā</a:t>
                </a:r>
                <a:r>
                  <a:rPr lang="lv-LV" baseline="0"/>
                  <a:t> līgumu summa, milj.EUR</a:t>
                </a:r>
                <a:endParaRPr lang="lv-LV"/>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61389248"/>
        <c:crosses val="autoZero"/>
        <c:crossBetween val="between"/>
      </c:valAx>
      <c:valAx>
        <c:axId val="461386624"/>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Vidējā</a:t>
                </a:r>
                <a:r>
                  <a:rPr lang="lv-LV" baseline="0"/>
                  <a:t> līguma vērtība, %</a:t>
                </a:r>
                <a:endParaRPr lang="lv-LV"/>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61387936"/>
        <c:crosses val="max"/>
        <c:crossBetween val="between"/>
      </c:valAx>
      <c:catAx>
        <c:axId val="461387936"/>
        <c:scaling>
          <c:orientation val="minMax"/>
        </c:scaling>
        <c:delete val="1"/>
        <c:axPos val="b"/>
        <c:numFmt formatCode="General" sourceLinked="1"/>
        <c:majorTickMark val="none"/>
        <c:minorTickMark val="none"/>
        <c:tickLblPos val="nextTo"/>
        <c:crossAx val="46138662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97208734984077"/>
          <c:y val="4.1431261770244823E-2"/>
          <c:w val="0.75506125025511051"/>
          <c:h val="0.66074054302534235"/>
        </c:manualLayout>
      </c:layout>
      <c:barChart>
        <c:barDir val="col"/>
        <c:grouping val="clustered"/>
        <c:varyColors val="0"/>
        <c:ser>
          <c:idx val="0"/>
          <c:order val="0"/>
          <c:tx>
            <c:strRef>
              <c:f>II_Kopējā_dinamika!$A$4</c:f>
              <c:strCache>
                <c:ptCount val="1"/>
                <c:pt idx="0">
                  <c:v>Noslēgto līgumu summa virs ES sliekšņa (milj.EUR)</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II_Kopējā_dinamika!$B$3:$H$3</c:f>
              <c:strCache>
                <c:ptCount val="7"/>
                <c:pt idx="0">
                  <c:v>2010.gads</c:v>
                </c:pt>
                <c:pt idx="1">
                  <c:v>2011.gads</c:v>
                </c:pt>
                <c:pt idx="2">
                  <c:v>2012.gads</c:v>
                </c:pt>
                <c:pt idx="3">
                  <c:v>2013.gads</c:v>
                </c:pt>
                <c:pt idx="4">
                  <c:v>2014.gads</c:v>
                </c:pt>
                <c:pt idx="5">
                  <c:v>2015.gads</c:v>
                </c:pt>
                <c:pt idx="6">
                  <c:v>2016.gads</c:v>
                </c:pt>
              </c:strCache>
            </c:strRef>
          </c:cat>
          <c:val>
            <c:numRef>
              <c:f>II_Kopējā_dinamika!$B$4:$H$4</c:f>
              <c:numCache>
                <c:formatCode>General</c:formatCode>
                <c:ptCount val="7"/>
                <c:pt idx="0">
                  <c:v>913.1</c:v>
                </c:pt>
                <c:pt idx="1">
                  <c:v>402.5</c:v>
                </c:pt>
                <c:pt idx="2">
                  <c:v>991.2</c:v>
                </c:pt>
                <c:pt idx="3">
                  <c:v>737.3</c:v>
                </c:pt>
                <c:pt idx="4">
                  <c:v>684.1</c:v>
                </c:pt>
                <c:pt idx="5">
                  <c:v>367.5</c:v>
                </c:pt>
                <c:pt idx="6">
                  <c:v>648.6</c:v>
                </c:pt>
              </c:numCache>
            </c:numRef>
          </c:val>
          <c:extLst>
            <c:ext xmlns:c16="http://schemas.microsoft.com/office/drawing/2014/chart" uri="{C3380CC4-5D6E-409C-BE32-E72D297353CC}">
              <c16:uniqueId val="{00000000-178F-425F-A318-0F7D6FD6B056}"/>
            </c:ext>
          </c:extLst>
        </c:ser>
        <c:dLbls>
          <c:dLblPos val="inBase"/>
          <c:showLegendKey val="0"/>
          <c:showVal val="1"/>
          <c:showCatName val="0"/>
          <c:showSerName val="0"/>
          <c:showPercent val="0"/>
          <c:showBubbleSize val="0"/>
        </c:dLbls>
        <c:gapWidth val="269"/>
        <c:overlap val="-27"/>
        <c:axId val="480316840"/>
        <c:axId val="480318480"/>
      </c:barChart>
      <c:lineChart>
        <c:grouping val="standard"/>
        <c:varyColors val="0"/>
        <c:ser>
          <c:idx val="1"/>
          <c:order val="1"/>
          <c:tx>
            <c:strRef>
              <c:f>II_Kopējā_dinamika!$A$5</c:f>
              <c:strCache>
                <c:ptCount val="1"/>
                <c:pt idx="0">
                  <c:v>Iepirkumu skaits</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dLbls>
            <c:spPr>
              <a:solidFill>
                <a:schemeClr val="bg1"/>
              </a:solid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strRef>
              <c:f>II_Kopējā_dinamika!$B$3:$H$3</c:f>
              <c:strCache>
                <c:ptCount val="7"/>
                <c:pt idx="0">
                  <c:v>2010.gads</c:v>
                </c:pt>
                <c:pt idx="1">
                  <c:v>2011.gads</c:v>
                </c:pt>
                <c:pt idx="2">
                  <c:v>2012.gads</c:v>
                </c:pt>
                <c:pt idx="3">
                  <c:v>2013.gads</c:v>
                </c:pt>
                <c:pt idx="4">
                  <c:v>2014.gads</c:v>
                </c:pt>
                <c:pt idx="5">
                  <c:v>2015.gads</c:v>
                </c:pt>
                <c:pt idx="6">
                  <c:v>2016.gads</c:v>
                </c:pt>
              </c:strCache>
            </c:strRef>
          </c:cat>
          <c:val>
            <c:numRef>
              <c:f>II_Kopējā_dinamika!$B$5:$H$5</c:f>
              <c:numCache>
                <c:formatCode>General</c:formatCode>
                <c:ptCount val="7"/>
                <c:pt idx="0">
                  <c:v>76</c:v>
                </c:pt>
                <c:pt idx="1">
                  <c:v>95</c:v>
                </c:pt>
                <c:pt idx="2">
                  <c:v>101</c:v>
                </c:pt>
                <c:pt idx="3">
                  <c:v>111</c:v>
                </c:pt>
                <c:pt idx="4">
                  <c:v>119</c:v>
                </c:pt>
                <c:pt idx="5">
                  <c:v>93</c:v>
                </c:pt>
                <c:pt idx="6">
                  <c:v>98</c:v>
                </c:pt>
              </c:numCache>
            </c:numRef>
          </c:val>
          <c:smooth val="0"/>
          <c:extLst>
            <c:ext xmlns:c16="http://schemas.microsoft.com/office/drawing/2014/chart" uri="{C3380CC4-5D6E-409C-BE32-E72D297353CC}">
              <c16:uniqueId val="{00000001-178F-425F-A318-0F7D6FD6B056}"/>
            </c:ext>
          </c:extLst>
        </c:ser>
        <c:ser>
          <c:idx val="2"/>
          <c:order val="2"/>
          <c:tx>
            <c:strRef>
              <c:f>II_Kopējā_dinamika!$A$6</c:f>
              <c:strCache>
                <c:ptCount val="1"/>
                <c:pt idx="0">
                  <c:v>Līgumu skaits</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dLbls>
            <c:spPr>
              <a:solidFill>
                <a:schemeClr val="bg1"/>
              </a:solid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3"/>
                </a:solidFill>
                <a:prstDash val="sysDot"/>
              </a:ln>
              <a:effectLst/>
            </c:spPr>
            <c:trendlineType val="linear"/>
            <c:dispRSqr val="0"/>
            <c:dispEq val="0"/>
          </c:trendline>
          <c:cat>
            <c:strRef>
              <c:f>II_Kopējā_dinamika!$B$3:$H$3</c:f>
              <c:strCache>
                <c:ptCount val="7"/>
                <c:pt idx="0">
                  <c:v>2010.gads</c:v>
                </c:pt>
                <c:pt idx="1">
                  <c:v>2011.gads</c:v>
                </c:pt>
                <c:pt idx="2">
                  <c:v>2012.gads</c:v>
                </c:pt>
                <c:pt idx="3">
                  <c:v>2013.gads</c:v>
                </c:pt>
                <c:pt idx="4">
                  <c:v>2014.gads</c:v>
                </c:pt>
                <c:pt idx="5">
                  <c:v>2015.gads</c:v>
                </c:pt>
                <c:pt idx="6">
                  <c:v>2016.gads</c:v>
                </c:pt>
              </c:strCache>
            </c:strRef>
          </c:cat>
          <c:val>
            <c:numRef>
              <c:f>II_Kopējā_dinamika!$B$6:$H$6</c:f>
              <c:numCache>
                <c:formatCode>General</c:formatCode>
                <c:ptCount val="7"/>
                <c:pt idx="0">
                  <c:v>109</c:v>
                </c:pt>
                <c:pt idx="1">
                  <c:v>134</c:v>
                </c:pt>
                <c:pt idx="2">
                  <c:v>148</c:v>
                </c:pt>
                <c:pt idx="3">
                  <c:v>380</c:v>
                </c:pt>
                <c:pt idx="4">
                  <c:v>152</c:v>
                </c:pt>
                <c:pt idx="5">
                  <c:v>273</c:v>
                </c:pt>
                <c:pt idx="6">
                  <c:v>146</c:v>
                </c:pt>
              </c:numCache>
            </c:numRef>
          </c:val>
          <c:smooth val="0"/>
          <c:extLst>
            <c:ext xmlns:c16="http://schemas.microsoft.com/office/drawing/2014/chart" uri="{C3380CC4-5D6E-409C-BE32-E72D297353CC}">
              <c16:uniqueId val="{00000002-178F-425F-A318-0F7D6FD6B056}"/>
            </c:ext>
          </c:extLst>
        </c:ser>
        <c:dLbls>
          <c:showLegendKey val="0"/>
          <c:showVal val="1"/>
          <c:showCatName val="0"/>
          <c:showSerName val="0"/>
          <c:showPercent val="0"/>
          <c:showBubbleSize val="0"/>
        </c:dLbls>
        <c:marker val="1"/>
        <c:smooth val="0"/>
        <c:axId val="480299456"/>
        <c:axId val="480300112"/>
      </c:lineChart>
      <c:catAx>
        <c:axId val="4802994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300112"/>
        <c:crosses val="autoZero"/>
        <c:auto val="1"/>
        <c:lblAlgn val="ctr"/>
        <c:lblOffset val="100"/>
        <c:noMultiLvlLbl val="0"/>
      </c:catAx>
      <c:valAx>
        <c:axId val="4803001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lv-LV"/>
                  <a:t>Skaits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299456"/>
        <c:crosses val="autoZero"/>
        <c:crossBetween val="between"/>
      </c:valAx>
      <c:valAx>
        <c:axId val="480318480"/>
        <c:scaling>
          <c:orientation val="minMax"/>
        </c:scaling>
        <c:delete val="0"/>
        <c:axPos val="r"/>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lv-LV"/>
                  <a:t>Noslēgtā</a:t>
                </a:r>
                <a:r>
                  <a:rPr lang="lv-LV" baseline="0"/>
                  <a:t> līgumu summa, milj.EUR</a:t>
                </a:r>
                <a:endParaRPr lang="lv-LV"/>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316840"/>
        <c:crosses val="max"/>
        <c:crossBetween val="between"/>
      </c:valAx>
      <c:catAx>
        <c:axId val="480316840"/>
        <c:scaling>
          <c:orientation val="minMax"/>
        </c:scaling>
        <c:delete val="1"/>
        <c:axPos val="b"/>
        <c:numFmt formatCode="General" sourceLinked="1"/>
        <c:majorTickMark val="none"/>
        <c:minorTickMark val="none"/>
        <c:tickLblPos val="nextTo"/>
        <c:crossAx val="480318480"/>
        <c:crosses val="autoZero"/>
        <c:auto val="1"/>
        <c:lblAlgn val="ctr"/>
        <c:lblOffset val="100"/>
        <c:noMultiLvlLbl val="0"/>
      </c:catAx>
      <c:spPr>
        <a:noFill/>
        <a:ln>
          <a:noFill/>
        </a:ln>
        <a:effectLst/>
      </c:spPr>
    </c:plotArea>
    <c:legend>
      <c:legendPos val="b"/>
      <c:layout>
        <c:manualLayout>
          <c:xMode val="edge"/>
          <c:yMode val="edge"/>
          <c:x val="7.2332730560578659E-3"/>
          <c:y val="0.85003069531562803"/>
          <c:w val="0.98888733844978238"/>
          <c:h val="0.104993104675474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5673665791776"/>
          <c:y val="5.0925925925925923E-2"/>
          <c:w val="0.85843263342082243"/>
          <c:h val="0.72106372120151652"/>
        </c:manualLayout>
      </c:layout>
      <c:barChart>
        <c:barDir val="col"/>
        <c:grouping val="clustered"/>
        <c:varyColors val="0"/>
        <c:ser>
          <c:idx val="0"/>
          <c:order val="0"/>
          <c:tx>
            <c:strRef>
              <c:f>II_Kopējā_dinamika!$B$59</c:f>
              <c:strCache>
                <c:ptCount val="1"/>
                <c:pt idx="0">
                  <c:v>Virs ES līgumcenu sliekšņa noslēgto līgumu summu  pieauguma temps</c:v>
                </c:pt>
              </c:strCache>
            </c:strRef>
          </c:tx>
          <c:spPr>
            <a:solidFill>
              <a:schemeClr val="accent1"/>
            </a:solidFill>
            <a:ln>
              <a:noFill/>
            </a:ln>
            <a:effectLst/>
          </c:spPr>
          <c:invertIfNegative val="0"/>
          <c:dLbls>
            <c:dLbl>
              <c:idx val="1"/>
              <c:layout>
                <c:manualLayout>
                  <c:x val="-5.6979398749180387E-17"/>
                  <c:y val="-2.56410256410256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00-48AF-A60E-F488AC7B19B8}"/>
                </c:ext>
              </c:extLst>
            </c:dLbl>
            <c:spPr>
              <a:no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II_Kopējā_dinamika!$A$60:$A$63</c:f>
              <c:strCache>
                <c:ptCount val="4"/>
                <c:pt idx="0">
                  <c:v>2013.gads</c:v>
                </c:pt>
                <c:pt idx="1">
                  <c:v>2014.gads</c:v>
                </c:pt>
                <c:pt idx="2">
                  <c:v>2015.gads</c:v>
                </c:pt>
                <c:pt idx="3">
                  <c:v>2016.gads</c:v>
                </c:pt>
              </c:strCache>
            </c:strRef>
          </c:cat>
          <c:val>
            <c:numRef>
              <c:f>II_Kopējā_dinamika!$B$60:$B$63</c:f>
              <c:numCache>
                <c:formatCode>0.0%</c:formatCode>
                <c:ptCount val="4"/>
                <c:pt idx="0">
                  <c:v>-0.25614343198461054</c:v>
                </c:pt>
                <c:pt idx="1">
                  <c:v>-7.2168433944972007E-2</c:v>
                </c:pt>
                <c:pt idx="2">
                  <c:v>-0.46125038910063088</c:v>
                </c:pt>
                <c:pt idx="3">
                  <c:v>0.75981711968992183</c:v>
                </c:pt>
              </c:numCache>
            </c:numRef>
          </c:val>
          <c:extLst>
            <c:ext xmlns:c16="http://schemas.microsoft.com/office/drawing/2014/chart" uri="{C3380CC4-5D6E-409C-BE32-E72D297353CC}">
              <c16:uniqueId val="{00000000-B319-4F30-8B06-317FB87DA85F}"/>
            </c:ext>
          </c:extLst>
        </c:ser>
        <c:ser>
          <c:idx val="1"/>
          <c:order val="1"/>
          <c:tx>
            <c:strRef>
              <c:f>II_Kopējā_dinamika!$C$59</c:f>
              <c:strCache>
                <c:ptCount val="1"/>
                <c:pt idx="0">
                  <c:v>Zem ES līgumcenu sliekšņa noslēgto līgumu summu pieauguma temps</c:v>
                </c:pt>
              </c:strCache>
            </c:strRef>
          </c:tx>
          <c:spPr>
            <a:solidFill>
              <a:schemeClr val="accent2"/>
            </a:solidFill>
            <a:ln>
              <a:noFill/>
            </a:ln>
            <a:effectLst/>
          </c:spPr>
          <c:invertIfNegative val="0"/>
          <c:dLbls>
            <c:dLbl>
              <c:idx val="3"/>
              <c:layout>
                <c:manualLayout>
                  <c:x val="9.3240093240092095E-3"/>
                  <c:y val="-1.70940170940170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00-48AF-A60E-F488AC7B19B8}"/>
                </c:ext>
              </c:extLst>
            </c:dLbl>
            <c:spPr>
              <a:solidFill>
                <a:schemeClr val="bg1"/>
              </a:solidFill>
              <a:ln>
                <a:solidFill>
                  <a:schemeClr val="accent2"/>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II_Kopējā_dinamika!$A$60:$A$63</c:f>
              <c:strCache>
                <c:ptCount val="4"/>
                <c:pt idx="0">
                  <c:v>2013.gads</c:v>
                </c:pt>
                <c:pt idx="1">
                  <c:v>2014.gads</c:v>
                </c:pt>
                <c:pt idx="2">
                  <c:v>2015.gads</c:v>
                </c:pt>
                <c:pt idx="3">
                  <c:v>2016.gads</c:v>
                </c:pt>
              </c:strCache>
            </c:strRef>
          </c:cat>
          <c:val>
            <c:numRef>
              <c:f>II_Kopējā_dinamika!$C$60:$C$63</c:f>
              <c:numCache>
                <c:formatCode>0.0%</c:formatCode>
                <c:ptCount val="4"/>
                <c:pt idx="0">
                  <c:v>2.4388963133843693E-2</c:v>
                </c:pt>
                <c:pt idx="1">
                  <c:v>0.31401317810442952</c:v>
                </c:pt>
                <c:pt idx="2">
                  <c:v>0.17981119240752827</c:v>
                </c:pt>
                <c:pt idx="3">
                  <c:v>-5.3656041289584427E-2</c:v>
                </c:pt>
              </c:numCache>
            </c:numRef>
          </c:val>
          <c:extLst>
            <c:ext xmlns:c16="http://schemas.microsoft.com/office/drawing/2014/chart" uri="{C3380CC4-5D6E-409C-BE32-E72D297353CC}">
              <c16:uniqueId val="{00000001-B319-4F30-8B06-317FB87DA85F}"/>
            </c:ext>
          </c:extLst>
        </c:ser>
        <c:dLbls>
          <c:showLegendKey val="0"/>
          <c:showVal val="0"/>
          <c:showCatName val="0"/>
          <c:showSerName val="0"/>
          <c:showPercent val="0"/>
          <c:showBubbleSize val="0"/>
        </c:dLbls>
        <c:gapWidth val="219"/>
        <c:overlap val="-27"/>
        <c:axId val="519034408"/>
        <c:axId val="519034080"/>
      </c:barChart>
      <c:catAx>
        <c:axId val="51903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lv-LV"/>
          </a:p>
        </c:txPr>
        <c:crossAx val="519034080"/>
        <c:crosses val="autoZero"/>
        <c:auto val="1"/>
        <c:lblAlgn val="ctr"/>
        <c:lblOffset val="100"/>
        <c:noMultiLvlLbl val="0"/>
      </c:catAx>
      <c:valAx>
        <c:axId val="5190340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19034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II_Kopējā_dinamika!$B$84</c:f>
              <c:strCache>
                <c:ptCount val="1"/>
                <c:pt idx="0">
                  <c:v>Vidējā iepirkuma vērtība, EUR</c:v>
                </c:pt>
              </c:strCache>
            </c:strRef>
          </c:tx>
          <c:spPr>
            <a:solidFill>
              <a:schemeClr val="accent1"/>
            </a:solidFill>
            <a:ln>
              <a:noFill/>
            </a:ln>
            <a:effectLst/>
          </c:spPr>
          <c:invertIfNegative val="0"/>
          <c:trendline>
            <c:spPr>
              <a:ln w="19050" cap="rnd">
                <a:solidFill>
                  <a:schemeClr val="accent1"/>
                </a:solidFill>
                <a:prstDash val="dash"/>
              </a:ln>
              <a:effectLst/>
            </c:spPr>
            <c:trendlineType val="linear"/>
            <c:dispRSqr val="0"/>
            <c:dispEq val="0"/>
          </c:trendline>
          <c:cat>
            <c:strRef>
              <c:f>II_Kopējā_dinamika!$A$85:$A$91</c:f>
              <c:strCache>
                <c:ptCount val="7"/>
                <c:pt idx="0">
                  <c:v>2010.gads</c:v>
                </c:pt>
                <c:pt idx="1">
                  <c:v>2011.gads</c:v>
                </c:pt>
                <c:pt idx="2">
                  <c:v>2012.gads</c:v>
                </c:pt>
                <c:pt idx="3">
                  <c:v>2013.gads</c:v>
                </c:pt>
                <c:pt idx="4">
                  <c:v>2014.gads</c:v>
                </c:pt>
                <c:pt idx="5">
                  <c:v>2015.gads</c:v>
                </c:pt>
                <c:pt idx="6">
                  <c:v>2016.gads</c:v>
                </c:pt>
              </c:strCache>
            </c:strRef>
          </c:cat>
          <c:val>
            <c:numRef>
              <c:f>II_Kopējā_dinamika!$B$85:$B$91</c:f>
              <c:numCache>
                <c:formatCode>#,##0</c:formatCode>
                <c:ptCount val="7"/>
                <c:pt idx="0">
                  <c:v>12014192</c:v>
                </c:pt>
                <c:pt idx="1">
                  <c:v>4236994</c:v>
                </c:pt>
                <c:pt idx="2">
                  <c:v>9814321</c:v>
                </c:pt>
                <c:pt idx="3">
                  <c:v>6642750</c:v>
                </c:pt>
                <c:pt idx="4">
                  <c:v>5749010</c:v>
                </c:pt>
                <c:pt idx="5">
                  <c:v>3952429</c:v>
                </c:pt>
                <c:pt idx="6">
                  <c:v>6618635</c:v>
                </c:pt>
              </c:numCache>
            </c:numRef>
          </c:val>
          <c:extLst>
            <c:ext xmlns:c16="http://schemas.microsoft.com/office/drawing/2014/chart" uri="{C3380CC4-5D6E-409C-BE32-E72D297353CC}">
              <c16:uniqueId val="{00000000-8EF2-4908-8CDF-D4E632E5F19E}"/>
            </c:ext>
          </c:extLst>
        </c:ser>
        <c:ser>
          <c:idx val="1"/>
          <c:order val="1"/>
          <c:tx>
            <c:strRef>
              <c:f>II_Kopējā_dinamika!$C$84</c:f>
              <c:strCache>
                <c:ptCount val="1"/>
                <c:pt idx="0">
                  <c:v>Vidējā līguma vērtība, EUR</c:v>
                </c:pt>
              </c:strCache>
            </c:strRef>
          </c:tx>
          <c:spPr>
            <a:solidFill>
              <a:schemeClr val="accent2"/>
            </a:solidFill>
            <a:ln>
              <a:noFill/>
            </a:ln>
            <a:effectLst/>
          </c:spPr>
          <c:invertIfNegative val="0"/>
          <c:trendline>
            <c:spPr>
              <a:ln w="19050" cap="rnd">
                <a:solidFill>
                  <a:schemeClr val="accent2"/>
                </a:solidFill>
                <a:prstDash val="dash"/>
              </a:ln>
              <a:effectLst/>
            </c:spPr>
            <c:trendlineType val="linear"/>
            <c:dispRSqr val="0"/>
            <c:dispEq val="0"/>
          </c:trendline>
          <c:cat>
            <c:strRef>
              <c:f>II_Kopējā_dinamika!$A$85:$A$91</c:f>
              <c:strCache>
                <c:ptCount val="7"/>
                <c:pt idx="0">
                  <c:v>2010.gads</c:v>
                </c:pt>
                <c:pt idx="1">
                  <c:v>2011.gads</c:v>
                </c:pt>
                <c:pt idx="2">
                  <c:v>2012.gads</c:v>
                </c:pt>
                <c:pt idx="3">
                  <c:v>2013.gads</c:v>
                </c:pt>
                <c:pt idx="4">
                  <c:v>2014.gads</c:v>
                </c:pt>
                <c:pt idx="5">
                  <c:v>2015.gads</c:v>
                </c:pt>
                <c:pt idx="6">
                  <c:v>2016.gads</c:v>
                </c:pt>
              </c:strCache>
            </c:strRef>
          </c:cat>
          <c:val>
            <c:numRef>
              <c:f>II_Kopējā_dinamika!$C$85:$C$91</c:f>
              <c:numCache>
                <c:formatCode>#,##0</c:formatCode>
                <c:ptCount val="7"/>
                <c:pt idx="0">
                  <c:v>8376192</c:v>
                </c:pt>
                <c:pt idx="1">
                  <c:v>3003839</c:v>
                </c:pt>
                <c:pt idx="2">
                  <c:v>6697611</c:v>
                </c:pt>
                <c:pt idx="3">
                  <c:v>1940382</c:v>
                </c:pt>
                <c:pt idx="4">
                  <c:v>4500869</c:v>
                </c:pt>
                <c:pt idx="5">
                  <c:v>1346432</c:v>
                </c:pt>
                <c:pt idx="6">
                  <c:v>4442645</c:v>
                </c:pt>
              </c:numCache>
            </c:numRef>
          </c:val>
          <c:extLst>
            <c:ext xmlns:c16="http://schemas.microsoft.com/office/drawing/2014/chart" uri="{C3380CC4-5D6E-409C-BE32-E72D297353CC}">
              <c16:uniqueId val="{00000001-8EF2-4908-8CDF-D4E632E5F19E}"/>
            </c:ext>
          </c:extLst>
        </c:ser>
        <c:dLbls>
          <c:showLegendKey val="0"/>
          <c:showVal val="0"/>
          <c:showCatName val="0"/>
          <c:showSerName val="0"/>
          <c:showPercent val="0"/>
          <c:showBubbleSize val="0"/>
        </c:dLbls>
        <c:gapWidth val="219"/>
        <c:overlap val="-27"/>
        <c:axId val="398856848"/>
        <c:axId val="398859144"/>
      </c:barChart>
      <c:catAx>
        <c:axId val="39885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8859144"/>
        <c:crosses val="autoZero"/>
        <c:auto val="1"/>
        <c:lblAlgn val="ctr"/>
        <c:lblOffset val="100"/>
        <c:noMultiLvlLbl val="0"/>
      </c:catAx>
      <c:valAx>
        <c:axId val="3988591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885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II_Kopējā_dinamika!$B$114</c:f>
              <c:strCache>
                <c:ptCount val="1"/>
                <c:pt idx="0">
                  <c:v>Vidējā iepirkuma vērtība, EUR</c:v>
                </c:pt>
              </c:strCache>
            </c:strRef>
          </c:tx>
          <c:spPr>
            <a:solidFill>
              <a:schemeClr val="accent1"/>
            </a:solidFill>
            <a:ln>
              <a:noFill/>
            </a:ln>
            <a:effectLst/>
          </c:spPr>
          <c:invertIfNegative val="0"/>
          <c:dLbls>
            <c:dLbl>
              <c:idx val="3"/>
              <c:layout>
                <c:manualLayout>
                  <c:x val="-8.2861566316604703E-17"/>
                  <c:y val="-3.703703703703703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844-4D8F-870C-B3B9EF94086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II_Kopējā_dinamika!$A$115:$A$120</c:f>
              <c:strCache>
                <c:ptCount val="6"/>
                <c:pt idx="0">
                  <c:v>2011.gads</c:v>
                </c:pt>
                <c:pt idx="1">
                  <c:v>2012.gads</c:v>
                </c:pt>
                <c:pt idx="2">
                  <c:v>2013.gads</c:v>
                </c:pt>
                <c:pt idx="3">
                  <c:v>2014.gads</c:v>
                </c:pt>
                <c:pt idx="4">
                  <c:v>2015.gads</c:v>
                </c:pt>
                <c:pt idx="5">
                  <c:v>2016.gads</c:v>
                </c:pt>
              </c:strCache>
            </c:strRef>
          </c:cat>
          <c:val>
            <c:numRef>
              <c:f>II_Kopējā_dinamika!$B$115:$B$120</c:f>
              <c:numCache>
                <c:formatCode>0.0%</c:formatCode>
                <c:ptCount val="6"/>
                <c:pt idx="0">
                  <c:v>-0.64733425269048472</c:v>
                </c:pt>
                <c:pt idx="1">
                  <c:v>1.3163405470954173</c:v>
                </c:pt>
                <c:pt idx="2">
                  <c:v>-0.32315745531453477</c:v>
                </c:pt>
                <c:pt idx="3">
                  <c:v>-0.13454367543562532</c:v>
                </c:pt>
                <c:pt idx="4">
                  <c:v>-0.31250267437350082</c:v>
                </c:pt>
                <c:pt idx="5">
                  <c:v>0.67457404041919533</c:v>
                </c:pt>
              </c:numCache>
            </c:numRef>
          </c:val>
          <c:extLst>
            <c:ext xmlns:c16="http://schemas.microsoft.com/office/drawing/2014/chart" uri="{C3380CC4-5D6E-409C-BE32-E72D297353CC}">
              <c16:uniqueId val="{00000000-8844-4D8F-870C-B3B9EF940860}"/>
            </c:ext>
          </c:extLst>
        </c:ser>
        <c:ser>
          <c:idx val="1"/>
          <c:order val="1"/>
          <c:tx>
            <c:strRef>
              <c:f>II_Kopējā_dinamika!$C$114</c:f>
              <c:strCache>
                <c:ptCount val="1"/>
                <c:pt idx="0">
                  <c:v>Vidējā līguma vērtība, EUR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strRef>
              <c:f>II_Kopējā_dinamika!$A$115:$A$120</c:f>
              <c:strCache>
                <c:ptCount val="6"/>
                <c:pt idx="0">
                  <c:v>2011.gads</c:v>
                </c:pt>
                <c:pt idx="1">
                  <c:v>2012.gads</c:v>
                </c:pt>
                <c:pt idx="2">
                  <c:v>2013.gads</c:v>
                </c:pt>
                <c:pt idx="3">
                  <c:v>2014.gads</c:v>
                </c:pt>
                <c:pt idx="4">
                  <c:v>2015.gads</c:v>
                </c:pt>
                <c:pt idx="5">
                  <c:v>2016.gads</c:v>
                </c:pt>
              </c:strCache>
            </c:strRef>
          </c:cat>
          <c:val>
            <c:numRef>
              <c:f>II_Kopējā_dinamika!$C$115:$C$120</c:f>
              <c:numCache>
                <c:formatCode>0.0%</c:formatCode>
                <c:ptCount val="6"/>
                <c:pt idx="0">
                  <c:v>-0.64138369798591055</c:v>
                </c:pt>
                <c:pt idx="1">
                  <c:v>1.229683748030437</c:v>
                </c:pt>
                <c:pt idx="2">
                  <c:v>-0.71028744428423807</c:v>
                </c:pt>
                <c:pt idx="3">
                  <c:v>1.3195788252003986</c:v>
                </c:pt>
                <c:pt idx="4">
                  <c:v>-0.70085065795072021</c:v>
                </c:pt>
                <c:pt idx="5">
                  <c:v>2.2995687862439396</c:v>
                </c:pt>
              </c:numCache>
            </c:numRef>
          </c:val>
          <c:extLst>
            <c:ext xmlns:c16="http://schemas.microsoft.com/office/drawing/2014/chart" uri="{C3380CC4-5D6E-409C-BE32-E72D297353CC}">
              <c16:uniqueId val="{00000001-8844-4D8F-870C-B3B9EF940860}"/>
            </c:ext>
          </c:extLst>
        </c:ser>
        <c:dLbls>
          <c:showLegendKey val="0"/>
          <c:showVal val="0"/>
          <c:showCatName val="0"/>
          <c:showSerName val="0"/>
          <c:showPercent val="0"/>
          <c:showBubbleSize val="0"/>
        </c:dLbls>
        <c:gapWidth val="219"/>
        <c:overlap val="-27"/>
        <c:axId val="396196176"/>
        <c:axId val="396191584"/>
      </c:barChart>
      <c:catAx>
        <c:axId val="396196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lv-LV"/>
          </a:p>
        </c:txPr>
        <c:crossAx val="396191584"/>
        <c:crosses val="autoZero"/>
        <c:auto val="1"/>
        <c:lblAlgn val="ctr"/>
        <c:lblOffset val="100"/>
        <c:noMultiLvlLbl val="0"/>
      </c:catAx>
      <c:valAx>
        <c:axId val="3961915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6196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II_Kopējā_dinamika!$B$144</c:f>
              <c:strCache>
                <c:ptCount val="1"/>
                <c:pt idx="0">
                  <c:v>Būvdarbi</c:v>
                </c:pt>
              </c:strCache>
            </c:strRef>
          </c:tx>
          <c:spPr>
            <a:solidFill>
              <a:schemeClr val="accent1"/>
            </a:solidFill>
            <a:ln>
              <a:noFill/>
            </a:ln>
            <a:effectLst/>
          </c:spPr>
          <c:invertIfNegative val="0"/>
          <c:dLbls>
            <c:spPr>
              <a:solidFill>
                <a:schemeClr val="bg1"/>
              </a:solid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II_Kopējā_dinamika!$A$145:$A$151</c:f>
              <c:strCache>
                <c:ptCount val="7"/>
                <c:pt idx="0">
                  <c:v>2010.gads (n=1 337,8 milj.EUR)</c:v>
                </c:pt>
                <c:pt idx="1">
                  <c:v>2011.gads (n=867,2 milj.EUR)</c:v>
                </c:pt>
                <c:pt idx="2">
                  <c:v>2012.gads (n=1496,6 milj.EUR)</c:v>
                </c:pt>
                <c:pt idx="3">
                  <c:v>2013.gads (n=1255,1 milj.EUR)</c:v>
                </c:pt>
                <c:pt idx="4">
                  <c:v>2014.gads (n=1364,4 milj.EUR)</c:v>
                </c:pt>
                <c:pt idx="5">
                  <c:v>2015.gads (n=1170,2 milj.EUR)</c:v>
                </c:pt>
                <c:pt idx="6">
                  <c:v>2016.gads (n=1408,2 milj.EUR)</c:v>
                </c:pt>
              </c:strCache>
            </c:strRef>
          </c:cat>
          <c:val>
            <c:numRef>
              <c:f>II_Kopējā_dinamika!$B$145:$B$151</c:f>
              <c:numCache>
                <c:formatCode>0.0%</c:formatCode>
                <c:ptCount val="7"/>
                <c:pt idx="0">
                  <c:v>0.505</c:v>
                </c:pt>
                <c:pt idx="1">
                  <c:v>0.34200000000000003</c:v>
                </c:pt>
                <c:pt idx="2">
                  <c:v>0.36499999999999999</c:v>
                </c:pt>
                <c:pt idx="3">
                  <c:v>0.29699999999999999</c:v>
                </c:pt>
                <c:pt idx="4">
                  <c:v>0.32400000000000001</c:v>
                </c:pt>
                <c:pt idx="5">
                  <c:v>0.22600000000000001</c:v>
                </c:pt>
                <c:pt idx="6">
                  <c:v>0.2</c:v>
                </c:pt>
              </c:numCache>
            </c:numRef>
          </c:val>
          <c:extLst>
            <c:ext xmlns:c16="http://schemas.microsoft.com/office/drawing/2014/chart" uri="{C3380CC4-5D6E-409C-BE32-E72D297353CC}">
              <c16:uniqueId val="{00000000-339A-4839-8A98-48C4558724F2}"/>
            </c:ext>
          </c:extLst>
        </c:ser>
        <c:ser>
          <c:idx val="1"/>
          <c:order val="1"/>
          <c:tx>
            <c:strRef>
              <c:f>II_Kopējā_dinamika!$C$144</c:f>
              <c:strCache>
                <c:ptCount val="1"/>
                <c:pt idx="0">
                  <c:v>Preces</c:v>
                </c:pt>
              </c:strCache>
            </c:strRef>
          </c:tx>
          <c:spPr>
            <a:solidFill>
              <a:schemeClr val="accent2"/>
            </a:solidFill>
            <a:ln>
              <a:noFill/>
            </a:ln>
            <a:effectLst/>
          </c:spPr>
          <c:invertIfNegative val="0"/>
          <c:dLbls>
            <c:spPr>
              <a:solidFill>
                <a:schemeClr val="bg1"/>
              </a:solid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II_Kopējā_dinamika!$A$145:$A$151</c:f>
              <c:strCache>
                <c:ptCount val="7"/>
                <c:pt idx="0">
                  <c:v>2010.gads (n=1 337,8 milj.EUR)</c:v>
                </c:pt>
                <c:pt idx="1">
                  <c:v>2011.gads (n=867,2 milj.EUR)</c:v>
                </c:pt>
                <c:pt idx="2">
                  <c:v>2012.gads (n=1496,6 milj.EUR)</c:v>
                </c:pt>
                <c:pt idx="3">
                  <c:v>2013.gads (n=1255,1 milj.EUR)</c:v>
                </c:pt>
                <c:pt idx="4">
                  <c:v>2014.gads (n=1364,4 milj.EUR)</c:v>
                </c:pt>
                <c:pt idx="5">
                  <c:v>2015.gads (n=1170,2 milj.EUR)</c:v>
                </c:pt>
                <c:pt idx="6">
                  <c:v>2016.gads (n=1408,2 milj.EUR)</c:v>
                </c:pt>
              </c:strCache>
            </c:strRef>
          </c:cat>
          <c:val>
            <c:numRef>
              <c:f>II_Kopējā_dinamika!$C$145:$C$151</c:f>
              <c:numCache>
                <c:formatCode>0.0%</c:formatCode>
                <c:ptCount val="7"/>
                <c:pt idx="0">
                  <c:v>0.19</c:v>
                </c:pt>
                <c:pt idx="1">
                  <c:v>0.43</c:v>
                </c:pt>
                <c:pt idx="2">
                  <c:v>0.51600000000000001</c:v>
                </c:pt>
                <c:pt idx="3">
                  <c:v>0.53500000000000003</c:v>
                </c:pt>
                <c:pt idx="4">
                  <c:v>0.36599999999999999</c:v>
                </c:pt>
                <c:pt idx="5">
                  <c:v>0.39800000000000002</c:v>
                </c:pt>
                <c:pt idx="6">
                  <c:v>0.38</c:v>
                </c:pt>
              </c:numCache>
            </c:numRef>
          </c:val>
          <c:extLst>
            <c:ext xmlns:c16="http://schemas.microsoft.com/office/drawing/2014/chart" uri="{C3380CC4-5D6E-409C-BE32-E72D297353CC}">
              <c16:uniqueId val="{00000001-339A-4839-8A98-48C4558724F2}"/>
            </c:ext>
          </c:extLst>
        </c:ser>
        <c:ser>
          <c:idx val="2"/>
          <c:order val="2"/>
          <c:tx>
            <c:strRef>
              <c:f>II_Kopējā_dinamika!$D$144</c:f>
              <c:strCache>
                <c:ptCount val="1"/>
                <c:pt idx="0">
                  <c:v>Pakalpojumi</c:v>
                </c:pt>
              </c:strCache>
            </c:strRef>
          </c:tx>
          <c:spPr>
            <a:solidFill>
              <a:schemeClr val="accent3"/>
            </a:solidFill>
            <a:ln>
              <a:noFill/>
            </a:ln>
            <a:effectLst/>
          </c:spPr>
          <c:invertIfNegative val="0"/>
          <c:dLbls>
            <c:spPr>
              <a:solidFill>
                <a:schemeClr val="bg1"/>
              </a:solid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II_Kopējā_dinamika!$A$145:$A$151</c:f>
              <c:strCache>
                <c:ptCount val="7"/>
                <c:pt idx="0">
                  <c:v>2010.gads (n=1 337,8 milj.EUR)</c:v>
                </c:pt>
                <c:pt idx="1">
                  <c:v>2011.gads (n=867,2 milj.EUR)</c:v>
                </c:pt>
                <c:pt idx="2">
                  <c:v>2012.gads (n=1496,6 milj.EUR)</c:v>
                </c:pt>
                <c:pt idx="3">
                  <c:v>2013.gads (n=1255,1 milj.EUR)</c:v>
                </c:pt>
                <c:pt idx="4">
                  <c:v>2014.gads (n=1364,4 milj.EUR)</c:v>
                </c:pt>
                <c:pt idx="5">
                  <c:v>2015.gads (n=1170,2 milj.EUR)</c:v>
                </c:pt>
                <c:pt idx="6">
                  <c:v>2016.gads (n=1408,2 milj.EUR)</c:v>
                </c:pt>
              </c:strCache>
            </c:strRef>
          </c:cat>
          <c:val>
            <c:numRef>
              <c:f>II_Kopējā_dinamika!$D$145:$D$151</c:f>
              <c:numCache>
                <c:formatCode>0.0%</c:formatCode>
                <c:ptCount val="7"/>
                <c:pt idx="0">
                  <c:v>0.30499999999999999</c:v>
                </c:pt>
                <c:pt idx="1">
                  <c:v>0.22800000000000001</c:v>
                </c:pt>
                <c:pt idx="2">
                  <c:v>0.11899999999999999</c:v>
                </c:pt>
                <c:pt idx="3">
                  <c:v>0.16800000000000001</c:v>
                </c:pt>
                <c:pt idx="4">
                  <c:v>0.31</c:v>
                </c:pt>
                <c:pt idx="5">
                  <c:v>0.376</c:v>
                </c:pt>
                <c:pt idx="6">
                  <c:v>0.42</c:v>
                </c:pt>
              </c:numCache>
            </c:numRef>
          </c:val>
          <c:extLst>
            <c:ext xmlns:c16="http://schemas.microsoft.com/office/drawing/2014/chart" uri="{C3380CC4-5D6E-409C-BE32-E72D297353CC}">
              <c16:uniqueId val="{00000002-339A-4839-8A98-48C4558724F2}"/>
            </c:ext>
          </c:extLst>
        </c:ser>
        <c:dLbls>
          <c:showLegendKey val="0"/>
          <c:showVal val="0"/>
          <c:showCatName val="0"/>
          <c:showSerName val="0"/>
          <c:showPercent val="0"/>
          <c:showBubbleSize val="0"/>
        </c:dLbls>
        <c:gapWidth val="150"/>
        <c:overlap val="100"/>
        <c:axId val="487226744"/>
        <c:axId val="487221824"/>
      </c:barChart>
      <c:catAx>
        <c:axId val="487226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7221824"/>
        <c:crosses val="autoZero"/>
        <c:auto val="1"/>
        <c:lblAlgn val="ctr"/>
        <c:lblOffset val="100"/>
        <c:noMultiLvlLbl val="0"/>
      </c:catAx>
      <c:valAx>
        <c:axId val="48722182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7226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II_Kopējā_dinamika!$A$167:$B$167</c:f>
              <c:strCache>
                <c:ptCount val="2"/>
                <c:pt idx="0">
                  <c:v>Būvdarbu iepirkumi (milj.EUR)</c:v>
                </c:pt>
              </c:strCache>
            </c:strRef>
          </c:tx>
          <c:spPr>
            <a:ln w="28575" cap="rnd">
              <a:solidFill>
                <a:schemeClr val="accent1"/>
              </a:solidFill>
              <a:round/>
            </a:ln>
            <a:effectLst/>
          </c:spPr>
          <c:marker>
            <c:symbol val="none"/>
          </c:marker>
          <c:dLbls>
            <c:dLbl>
              <c:idx val="1"/>
              <c:layout>
                <c:manualLayout>
                  <c:x val="2.71709154785027E-2"/>
                  <c:y val="-5.7835739282589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318-4545-B789-9865CDF5B496}"/>
                </c:ext>
              </c:extLst>
            </c:dLbl>
            <c:dLbl>
              <c:idx val="4"/>
              <c:layout>
                <c:manualLayout>
                  <c:x val="3.1604276133439267E-2"/>
                  <c:y val="-0.1735764800233304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318-4545-B789-9865CDF5B496}"/>
                </c:ext>
              </c:extLst>
            </c:dLbl>
            <c:dLbl>
              <c:idx val="5"/>
              <c:layout>
                <c:manualLayout>
                  <c:x val="-6.371297794769612E-2"/>
                  <c:y val="9.03124088655585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318-4545-B789-9865CDF5B496}"/>
                </c:ext>
              </c:extLst>
            </c:dLbl>
            <c:spPr>
              <a:solidFill>
                <a:schemeClr val="accent1">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II_Kopējā_dinamika!$C$166:$I$166</c:f>
              <c:strCache>
                <c:ptCount val="7"/>
                <c:pt idx="0">
                  <c:v>2010.gads</c:v>
                </c:pt>
                <c:pt idx="1">
                  <c:v>2011.gads</c:v>
                </c:pt>
                <c:pt idx="2">
                  <c:v>2012.gads</c:v>
                </c:pt>
                <c:pt idx="3">
                  <c:v>2013.gads</c:v>
                </c:pt>
                <c:pt idx="4">
                  <c:v>2014.gads</c:v>
                </c:pt>
                <c:pt idx="5">
                  <c:v>2015.gads</c:v>
                </c:pt>
                <c:pt idx="6">
                  <c:v>2016.gads</c:v>
                </c:pt>
              </c:strCache>
            </c:strRef>
          </c:cat>
          <c:val>
            <c:numRef>
              <c:f>II_Kopējā_dinamika!$C$167:$I$167</c:f>
              <c:numCache>
                <c:formatCode>General</c:formatCode>
                <c:ptCount val="7"/>
                <c:pt idx="0">
                  <c:v>676.2</c:v>
                </c:pt>
                <c:pt idx="1">
                  <c:v>296.8</c:v>
                </c:pt>
                <c:pt idx="2">
                  <c:v>546.20000000000005</c:v>
                </c:pt>
                <c:pt idx="3">
                  <c:v>372.6</c:v>
                </c:pt>
                <c:pt idx="4">
                  <c:v>442.7</c:v>
                </c:pt>
                <c:pt idx="5">
                  <c:v>264.8</c:v>
                </c:pt>
                <c:pt idx="6" formatCode="0.0">
                  <c:v>281</c:v>
                </c:pt>
              </c:numCache>
            </c:numRef>
          </c:val>
          <c:smooth val="0"/>
          <c:extLst>
            <c:ext xmlns:c16="http://schemas.microsoft.com/office/drawing/2014/chart" uri="{C3380CC4-5D6E-409C-BE32-E72D297353CC}">
              <c16:uniqueId val="{00000000-5318-4545-B789-9865CDF5B496}"/>
            </c:ext>
          </c:extLst>
        </c:ser>
        <c:ser>
          <c:idx val="1"/>
          <c:order val="1"/>
          <c:tx>
            <c:strRef>
              <c:f>II_Kopējā_dinamika!$A$168:$B$168</c:f>
              <c:strCache>
                <c:ptCount val="2"/>
                <c:pt idx="0">
                  <c:v>Preču iepirkumi (milj.EUR)</c:v>
                </c:pt>
              </c:strCache>
            </c:strRef>
          </c:tx>
          <c:spPr>
            <a:ln w="28575" cap="rnd">
              <a:solidFill>
                <a:schemeClr val="accent2"/>
              </a:solidFill>
              <a:round/>
            </a:ln>
            <a:effectLst/>
          </c:spPr>
          <c:marker>
            <c:symbol val="none"/>
          </c:marker>
          <c:dLbls>
            <c:dLbl>
              <c:idx val="0"/>
              <c:layout>
                <c:manualLayout>
                  <c:x val="-9.474650253225185E-2"/>
                  <c:y val="-1.616907261592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318-4545-B789-9865CDF5B496}"/>
                </c:ext>
              </c:extLst>
            </c:dLbl>
            <c:dLbl>
              <c:idx val="4"/>
              <c:layout>
                <c:manualLayout>
                  <c:x val="-7.0363018930100996E-2"/>
                  <c:y val="-0.1319098133566637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318-4545-B789-9865CDF5B496}"/>
                </c:ext>
              </c:extLst>
            </c:dLbl>
            <c:spPr>
              <a:solidFill>
                <a:schemeClr val="accent2">
                  <a:lumMod val="20000"/>
                  <a:lumOff val="80000"/>
                </a:schemeClr>
              </a:solidFill>
              <a:ln>
                <a:solidFill>
                  <a:schemeClr val="bg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cmpd="dbl">
                <a:solidFill>
                  <a:schemeClr val="accent2"/>
                </a:solidFill>
                <a:prstDash val="sysDot"/>
              </a:ln>
              <a:effectLst/>
            </c:spPr>
            <c:trendlineType val="linear"/>
            <c:dispRSqr val="0"/>
            <c:dispEq val="0"/>
          </c:trendline>
          <c:cat>
            <c:strRef>
              <c:f>II_Kopējā_dinamika!$C$166:$I$166</c:f>
              <c:strCache>
                <c:ptCount val="7"/>
                <c:pt idx="0">
                  <c:v>2010.gads</c:v>
                </c:pt>
                <c:pt idx="1">
                  <c:v>2011.gads</c:v>
                </c:pt>
                <c:pt idx="2">
                  <c:v>2012.gads</c:v>
                </c:pt>
                <c:pt idx="3">
                  <c:v>2013.gads</c:v>
                </c:pt>
                <c:pt idx="4">
                  <c:v>2014.gads</c:v>
                </c:pt>
                <c:pt idx="5">
                  <c:v>2015.gads</c:v>
                </c:pt>
                <c:pt idx="6">
                  <c:v>2016.gads</c:v>
                </c:pt>
              </c:strCache>
            </c:strRef>
          </c:cat>
          <c:val>
            <c:numRef>
              <c:f>II_Kopējā_dinamika!$C$168:$I$168</c:f>
              <c:numCache>
                <c:formatCode>General</c:formatCode>
                <c:ptCount val="7"/>
                <c:pt idx="0">
                  <c:v>253.2</c:v>
                </c:pt>
                <c:pt idx="1">
                  <c:v>372.5</c:v>
                </c:pt>
                <c:pt idx="2">
                  <c:v>772.1</c:v>
                </c:pt>
                <c:pt idx="3">
                  <c:v>671.5</c:v>
                </c:pt>
                <c:pt idx="4">
                  <c:v>499.6</c:v>
                </c:pt>
                <c:pt idx="5">
                  <c:v>465.2</c:v>
                </c:pt>
                <c:pt idx="6">
                  <c:v>534.79999999999995</c:v>
                </c:pt>
              </c:numCache>
            </c:numRef>
          </c:val>
          <c:smooth val="0"/>
          <c:extLst>
            <c:ext xmlns:c16="http://schemas.microsoft.com/office/drawing/2014/chart" uri="{C3380CC4-5D6E-409C-BE32-E72D297353CC}">
              <c16:uniqueId val="{00000001-5318-4545-B789-9865CDF5B496}"/>
            </c:ext>
          </c:extLst>
        </c:ser>
        <c:ser>
          <c:idx val="2"/>
          <c:order val="2"/>
          <c:tx>
            <c:strRef>
              <c:f>II_Kopējā_dinamika!$A$169:$B$169</c:f>
              <c:strCache>
                <c:ptCount val="2"/>
                <c:pt idx="0">
                  <c:v>Pakalpojumu iepirkumi (milj.EUR)</c:v>
                </c:pt>
              </c:strCache>
            </c:strRef>
          </c:tx>
          <c:spPr>
            <a:ln w="28575" cap="rnd">
              <a:solidFill>
                <a:schemeClr val="accent3"/>
              </a:solidFill>
              <a:round/>
            </a:ln>
            <a:effectLst/>
          </c:spPr>
          <c:marker>
            <c:symbol val="none"/>
          </c:marker>
          <c:dLbls>
            <c:dLbl>
              <c:idx val="0"/>
              <c:layout>
                <c:manualLayout>
                  <c:x val="-8.4987523755133298E-2"/>
                  <c:y val="-4.394685039370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318-4545-B789-9865CDF5B496}"/>
                </c:ext>
              </c:extLst>
            </c:dLbl>
            <c:dLbl>
              <c:idx val="1"/>
              <c:layout>
                <c:manualLayout>
                  <c:x val="-4.154617467301347E-2"/>
                  <c:y val="7.64235199766695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318-4545-B789-9865CDF5B496}"/>
                </c:ext>
              </c:extLst>
            </c:dLbl>
            <c:dLbl>
              <c:idx val="2"/>
              <c:layout>
                <c:manualLayout>
                  <c:x val="-4.154617467301347E-2"/>
                  <c:y val="6.71642607174103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318-4545-B789-9865CDF5B496}"/>
                </c:ext>
              </c:extLst>
            </c:dLbl>
            <c:dLbl>
              <c:idx val="3"/>
              <c:layout>
                <c:manualLayout>
                  <c:x val="-2.3812732053267352E-2"/>
                  <c:y val="7.64235199766695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318-4545-B789-9865CDF5B496}"/>
                </c:ext>
              </c:extLst>
            </c:dLbl>
            <c:dLbl>
              <c:idx val="4"/>
              <c:layout>
                <c:manualLayout>
                  <c:x val="-3.4896133690608837E-2"/>
                  <c:y val="0.1366087051618547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318-4545-B789-9865CDF5B496}"/>
                </c:ext>
              </c:extLst>
            </c:dLbl>
            <c:dLbl>
              <c:idx val="5"/>
              <c:layout>
                <c:manualLayout>
                  <c:x val="1.8304194168629679E-2"/>
                  <c:y val="0.1366087051618546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318-4545-B789-9865CDF5B496}"/>
                </c:ext>
              </c:extLst>
            </c:dLbl>
            <c:spPr>
              <a:solidFill>
                <a:schemeClr val="bg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3"/>
                </a:solidFill>
                <a:prstDash val="sysDot"/>
              </a:ln>
              <a:effectLst/>
            </c:spPr>
            <c:trendlineType val="linear"/>
            <c:dispRSqr val="0"/>
            <c:dispEq val="0"/>
          </c:trendline>
          <c:cat>
            <c:strRef>
              <c:f>II_Kopējā_dinamika!$C$166:$I$166</c:f>
              <c:strCache>
                <c:ptCount val="7"/>
                <c:pt idx="0">
                  <c:v>2010.gads</c:v>
                </c:pt>
                <c:pt idx="1">
                  <c:v>2011.gads</c:v>
                </c:pt>
                <c:pt idx="2">
                  <c:v>2012.gads</c:v>
                </c:pt>
                <c:pt idx="3">
                  <c:v>2013.gads</c:v>
                </c:pt>
                <c:pt idx="4">
                  <c:v>2014.gads</c:v>
                </c:pt>
                <c:pt idx="5">
                  <c:v>2015.gads</c:v>
                </c:pt>
                <c:pt idx="6">
                  <c:v>2016.gads</c:v>
                </c:pt>
              </c:strCache>
            </c:strRef>
          </c:cat>
          <c:val>
            <c:numRef>
              <c:f>II_Kopējā_dinamika!$C$169:$I$169</c:f>
              <c:numCache>
                <c:formatCode>General</c:formatCode>
                <c:ptCount val="7"/>
                <c:pt idx="0">
                  <c:v>408</c:v>
                </c:pt>
                <c:pt idx="1">
                  <c:v>197.7</c:v>
                </c:pt>
                <c:pt idx="2">
                  <c:v>178.1</c:v>
                </c:pt>
                <c:pt idx="3">
                  <c:v>210.7</c:v>
                </c:pt>
                <c:pt idx="4">
                  <c:v>422.1</c:v>
                </c:pt>
                <c:pt idx="5">
                  <c:v>440.2</c:v>
                </c:pt>
                <c:pt idx="6">
                  <c:v>592.20000000000005</c:v>
                </c:pt>
              </c:numCache>
            </c:numRef>
          </c:val>
          <c:smooth val="0"/>
          <c:extLst>
            <c:ext xmlns:c16="http://schemas.microsoft.com/office/drawing/2014/chart" uri="{C3380CC4-5D6E-409C-BE32-E72D297353CC}">
              <c16:uniqueId val="{00000002-5318-4545-B789-9865CDF5B496}"/>
            </c:ext>
          </c:extLst>
        </c:ser>
        <c:dLbls>
          <c:dLblPos val="t"/>
          <c:showLegendKey val="0"/>
          <c:showVal val="1"/>
          <c:showCatName val="0"/>
          <c:showSerName val="0"/>
          <c:showPercent val="0"/>
          <c:showBubbleSize val="0"/>
        </c:dLbls>
        <c:smooth val="0"/>
        <c:axId val="396206672"/>
        <c:axId val="398647160"/>
      </c:lineChart>
      <c:catAx>
        <c:axId val="396206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8647160"/>
        <c:crosses val="autoZero"/>
        <c:auto val="1"/>
        <c:lblAlgn val="ctr"/>
        <c:lblOffset val="100"/>
        <c:noMultiLvlLbl val="0"/>
      </c:catAx>
      <c:valAx>
        <c:axId val="398647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(milj.EUR)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6206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5.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8.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5.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8</xdr:col>
      <xdr:colOff>495300</xdr:colOff>
      <xdr:row>12</xdr:row>
      <xdr:rowOff>164465</xdr:rowOff>
    </xdr:to>
    <xdr:pic>
      <xdr:nvPicPr>
        <xdr:cNvPr id="2" name="Picture 1">
          <a:extLst>
            <a:ext uri="{FF2B5EF4-FFF2-40B4-BE49-F238E27FC236}">
              <a16:creationId xmlns:a16="http://schemas.microsoft.com/office/drawing/2014/main" id="{2E5557CF-F06C-409F-85CA-BE3E70B7B3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5372100" cy="24123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xdr:colOff>
      <xdr:row>1</xdr:row>
      <xdr:rowOff>38100</xdr:rowOff>
    </xdr:from>
    <xdr:to>
      <xdr:col>7</xdr:col>
      <xdr:colOff>590550</xdr:colOff>
      <xdr:row>13</xdr:row>
      <xdr:rowOff>171450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47624</xdr:colOff>
      <xdr:row>32</xdr:row>
      <xdr:rowOff>19050</xdr:rowOff>
    </xdr:from>
    <xdr:to>
      <xdr:col>7</xdr:col>
      <xdr:colOff>609599</xdr:colOff>
      <xdr:row>44</xdr:row>
      <xdr:rowOff>142875</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47624</xdr:colOff>
      <xdr:row>38</xdr:row>
      <xdr:rowOff>66675</xdr:rowOff>
    </xdr:from>
    <xdr:to>
      <xdr:col>11</xdr:col>
      <xdr:colOff>381000</xdr:colOff>
      <xdr:row>54</xdr:row>
      <xdr:rowOff>161925</xdr:rowOff>
    </xdr:to>
    <xdr:graphicFrame macro="">
      <xdr:nvGraphicFramePr>
        <xdr:cNvPr id="6" name="Chart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114301</xdr:colOff>
      <xdr:row>7</xdr:row>
      <xdr:rowOff>57150</xdr:rowOff>
    </xdr:from>
    <xdr:to>
      <xdr:col>11</xdr:col>
      <xdr:colOff>352425</xdr:colOff>
      <xdr:row>28</xdr:row>
      <xdr:rowOff>104775</xdr:rowOff>
    </xdr:to>
    <xdr:graphicFrame macro="">
      <xdr:nvGraphicFramePr>
        <xdr:cNvPr id="2" name="Chart 1">
          <a:extLst>
            <a:ext uri="{FF2B5EF4-FFF2-40B4-BE49-F238E27FC236}">
              <a16:creationId xmlns:a16="http://schemas.microsoft.com/office/drawing/2014/main" id="{46BDC8D8-B709-4637-B964-476D480684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64</xdr:row>
      <xdr:rowOff>142875</xdr:rowOff>
    </xdr:from>
    <xdr:to>
      <xdr:col>11</xdr:col>
      <xdr:colOff>276225</xdr:colOff>
      <xdr:row>80</xdr:row>
      <xdr:rowOff>66675</xdr:rowOff>
    </xdr:to>
    <xdr:graphicFrame macro="">
      <xdr:nvGraphicFramePr>
        <xdr:cNvPr id="4" name="Chart 3">
          <a:extLst>
            <a:ext uri="{FF2B5EF4-FFF2-40B4-BE49-F238E27FC236}">
              <a16:creationId xmlns:a16="http://schemas.microsoft.com/office/drawing/2014/main" id="{7AA68A20-97B2-44E9-A589-ED0DF3A29D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91</xdr:row>
      <xdr:rowOff>161924</xdr:rowOff>
    </xdr:from>
    <xdr:to>
      <xdr:col>11</xdr:col>
      <xdr:colOff>95250</xdr:colOff>
      <xdr:row>109</xdr:row>
      <xdr:rowOff>152399</xdr:rowOff>
    </xdr:to>
    <xdr:graphicFrame macro="">
      <xdr:nvGraphicFramePr>
        <xdr:cNvPr id="3" name="Chart 2">
          <a:extLst>
            <a:ext uri="{FF2B5EF4-FFF2-40B4-BE49-F238E27FC236}">
              <a16:creationId xmlns:a16="http://schemas.microsoft.com/office/drawing/2014/main" id="{432B9A6E-650D-4307-9DB5-5741378A5E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121</xdr:row>
      <xdr:rowOff>38100</xdr:rowOff>
    </xdr:from>
    <xdr:to>
      <xdr:col>11</xdr:col>
      <xdr:colOff>352425</xdr:colOff>
      <xdr:row>140</xdr:row>
      <xdr:rowOff>9525</xdr:rowOff>
    </xdr:to>
    <xdr:graphicFrame macro="">
      <xdr:nvGraphicFramePr>
        <xdr:cNvPr id="5" name="Chart 4">
          <a:extLst>
            <a:ext uri="{FF2B5EF4-FFF2-40B4-BE49-F238E27FC236}">
              <a16:creationId xmlns:a16="http://schemas.microsoft.com/office/drawing/2014/main" id="{D98932CE-C246-45BF-A2FF-92F5C8EF3A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180975</xdr:colOff>
      <xdr:row>143</xdr:row>
      <xdr:rowOff>9525</xdr:rowOff>
    </xdr:from>
    <xdr:to>
      <xdr:col>11</xdr:col>
      <xdr:colOff>571500</xdr:colOff>
      <xdr:row>161</xdr:row>
      <xdr:rowOff>85725</xdr:rowOff>
    </xdr:to>
    <xdr:graphicFrame macro="">
      <xdr:nvGraphicFramePr>
        <xdr:cNvPr id="7" name="Chart 6">
          <a:extLst>
            <a:ext uri="{FF2B5EF4-FFF2-40B4-BE49-F238E27FC236}">
              <a16:creationId xmlns:a16="http://schemas.microsoft.com/office/drawing/2014/main" id="{BBD4709F-5100-4FAF-A58B-50A311EF97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170</xdr:row>
      <xdr:rowOff>66675</xdr:rowOff>
    </xdr:from>
    <xdr:to>
      <xdr:col>11</xdr:col>
      <xdr:colOff>381000</xdr:colOff>
      <xdr:row>193</xdr:row>
      <xdr:rowOff>123825</xdr:rowOff>
    </xdr:to>
    <xdr:graphicFrame macro="">
      <xdr:nvGraphicFramePr>
        <xdr:cNvPr id="8" name="Chart 7">
          <a:extLst>
            <a:ext uri="{FF2B5EF4-FFF2-40B4-BE49-F238E27FC236}">
              <a16:creationId xmlns:a16="http://schemas.microsoft.com/office/drawing/2014/main" id="{32A3831A-799F-4FE6-8A85-DDCD5AF896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66675</xdr:colOff>
      <xdr:row>211</xdr:row>
      <xdr:rowOff>57150</xdr:rowOff>
    </xdr:from>
    <xdr:to>
      <xdr:col>11</xdr:col>
      <xdr:colOff>447675</xdr:colOff>
      <xdr:row>243</xdr:row>
      <xdr:rowOff>66676</xdr:rowOff>
    </xdr:to>
    <xdr:graphicFrame macro="">
      <xdr:nvGraphicFramePr>
        <xdr:cNvPr id="9" name="Chart 8">
          <a:extLst>
            <a:ext uri="{FF2B5EF4-FFF2-40B4-BE49-F238E27FC236}">
              <a16:creationId xmlns:a16="http://schemas.microsoft.com/office/drawing/2014/main" id="{3183F7BF-9366-4C2B-9323-85DDCF349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133350</xdr:colOff>
      <xdr:row>1</xdr:row>
      <xdr:rowOff>114301</xdr:rowOff>
    </xdr:from>
    <xdr:to>
      <xdr:col>10</xdr:col>
      <xdr:colOff>457200</xdr:colOff>
      <xdr:row>9</xdr:row>
      <xdr:rowOff>19051</xdr:rowOff>
    </xdr:to>
    <xdr:graphicFrame macro="">
      <xdr:nvGraphicFramePr>
        <xdr:cNvPr id="2" name="Chart 1">
          <a:extLst>
            <a:ext uri="{FF2B5EF4-FFF2-40B4-BE49-F238E27FC236}">
              <a16:creationId xmlns:a16="http://schemas.microsoft.com/office/drawing/2014/main" id="{392D48CE-531C-47EA-9D64-56622021AB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180974</xdr:colOff>
      <xdr:row>11</xdr:row>
      <xdr:rowOff>161925</xdr:rowOff>
    </xdr:from>
    <xdr:to>
      <xdr:col>10</xdr:col>
      <xdr:colOff>457200</xdr:colOff>
      <xdr:row>23</xdr:row>
      <xdr:rowOff>9525</xdr:rowOff>
    </xdr:to>
    <xdr:graphicFrame macro="">
      <xdr:nvGraphicFramePr>
        <xdr:cNvPr id="6" name="Chart 5">
          <a:extLst>
            <a:ext uri="{FF2B5EF4-FFF2-40B4-BE49-F238E27FC236}">
              <a16:creationId xmlns:a16="http://schemas.microsoft.com/office/drawing/2014/main" id="{039DF762-4BFA-4819-94B4-1A6D14AA30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114301</xdr:colOff>
      <xdr:row>39</xdr:row>
      <xdr:rowOff>9525</xdr:rowOff>
    </xdr:from>
    <xdr:to>
      <xdr:col>10</xdr:col>
      <xdr:colOff>428626</xdr:colOff>
      <xdr:row>58</xdr:row>
      <xdr:rowOff>142875</xdr:rowOff>
    </xdr:to>
    <xdr:graphicFrame macro="">
      <xdr:nvGraphicFramePr>
        <xdr:cNvPr id="7" name="Chart 6">
          <a:extLst>
            <a:ext uri="{FF2B5EF4-FFF2-40B4-BE49-F238E27FC236}">
              <a16:creationId xmlns:a16="http://schemas.microsoft.com/office/drawing/2014/main" id="{63178180-067F-42B6-90D4-B5E9420E5F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152398</xdr:colOff>
      <xdr:row>69</xdr:row>
      <xdr:rowOff>38099</xdr:rowOff>
    </xdr:from>
    <xdr:to>
      <xdr:col>12</xdr:col>
      <xdr:colOff>600074</xdr:colOff>
      <xdr:row>82</xdr:row>
      <xdr:rowOff>152400</xdr:rowOff>
    </xdr:to>
    <xdr:graphicFrame macro="">
      <xdr:nvGraphicFramePr>
        <xdr:cNvPr id="3" name="Chart 2">
          <a:extLst>
            <a:ext uri="{FF2B5EF4-FFF2-40B4-BE49-F238E27FC236}">
              <a16:creationId xmlns:a16="http://schemas.microsoft.com/office/drawing/2014/main" id="{578D935F-9222-4226-B2B3-5C8C18C33F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285750</xdr:colOff>
      <xdr:row>92</xdr:row>
      <xdr:rowOff>85726</xdr:rowOff>
    </xdr:from>
    <xdr:to>
      <xdr:col>13</xdr:col>
      <xdr:colOff>161925</xdr:colOff>
      <xdr:row>105</xdr:row>
      <xdr:rowOff>66675</xdr:rowOff>
    </xdr:to>
    <xdr:graphicFrame macro="">
      <xdr:nvGraphicFramePr>
        <xdr:cNvPr id="4" name="Chart 3">
          <a:extLst>
            <a:ext uri="{FF2B5EF4-FFF2-40B4-BE49-F238E27FC236}">
              <a16:creationId xmlns:a16="http://schemas.microsoft.com/office/drawing/2014/main" id="{D1B68E6D-AC60-4317-99C7-A9C7C7D0FF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142874</xdr:colOff>
      <xdr:row>149</xdr:row>
      <xdr:rowOff>85725</xdr:rowOff>
    </xdr:from>
    <xdr:to>
      <xdr:col>10</xdr:col>
      <xdr:colOff>485774</xdr:colOff>
      <xdr:row>161</xdr:row>
      <xdr:rowOff>38100</xdr:rowOff>
    </xdr:to>
    <xdr:graphicFrame macro="">
      <xdr:nvGraphicFramePr>
        <xdr:cNvPr id="5" name="Chart 4">
          <a:extLst>
            <a:ext uri="{FF2B5EF4-FFF2-40B4-BE49-F238E27FC236}">
              <a16:creationId xmlns:a16="http://schemas.microsoft.com/office/drawing/2014/main" id="{C1A527C4-98D6-487E-B4D9-63FBC47929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228601</xdr:colOff>
      <xdr:row>10</xdr:row>
      <xdr:rowOff>104774</xdr:rowOff>
    </xdr:from>
    <xdr:to>
      <xdr:col>12</xdr:col>
      <xdr:colOff>504826</xdr:colOff>
      <xdr:row>28</xdr:row>
      <xdr:rowOff>114299</xdr:rowOff>
    </xdr:to>
    <xdr:graphicFrame macro="">
      <xdr:nvGraphicFramePr>
        <xdr:cNvPr id="2" name="Chart 1">
          <a:extLst>
            <a:ext uri="{FF2B5EF4-FFF2-40B4-BE49-F238E27FC236}">
              <a16:creationId xmlns:a16="http://schemas.microsoft.com/office/drawing/2014/main" id="{E02154B1-4FA8-4F3A-97C9-1BB8DE9023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95249</xdr:colOff>
      <xdr:row>30</xdr:row>
      <xdr:rowOff>133350</xdr:rowOff>
    </xdr:from>
    <xdr:to>
      <xdr:col>12</xdr:col>
      <xdr:colOff>466725</xdr:colOff>
      <xdr:row>38</xdr:row>
      <xdr:rowOff>19050</xdr:rowOff>
    </xdr:to>
    <xdr:graphicFrame macro="">
      <xdr:nvGraphicFramePr>
        <xdr:cNvPr id="4" name="Chart 3">
          <a:extLst>
            <a:ext uri="{FF2B5EF4-FFF2-40B4-BE49-F238E27FC236}">
              <a16:creationId xmlns:a16="http://schemas.microsoft.com/office/drawing/2014/main" id="{210040E8-A13E-42B3-AB08-CFEA7AF0F1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114299</xdr:colOff>
      <xdr:row>2</xdr:row>
      <xdr:rowOff>47625</xdr:rowOff>
    </xdr:from>
    <xdr:to>
      <xdr:col>14</xdr:col>
      <xdr:colOff>561975</xdr:colOff>
      <xdr:row>25</xdr:row>
      <xdr:rowOff>104775</xdr:rowOff>
    </xdr:to>
    <xdr:graphicFrame macro="">
      <xdr:nvGraphicFramePr>
        <xdr:cNvPr id="3" name="Chart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276224</xdr:colOff>
      <xdr:row>82</xdr:row>
      <xdr:rowOff>180975</xdr:rowOff>
    </xdr:from>
    <xdr:to>
      <xdr:col>15</xdr:col>
      <xdr:colOff>133349</xdr:colOff>
      <xdr:row>96</xdr:row>
      <xdr:rowOff>133350</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352425</xdr:colOff>
      <xdr:row>100</xdr:row>
      <xdr:rowOff>104774</xdr:rowOff>
    </xdr:from>
    <xdr:to>
      <xdr:col>15</xdr:col>
      <xdr:colOff>285750</xdr:colOff>
      <xdr:row>110</xdr:row>
      <xdr:rowOff>57150</xdr:rowOff>
    </xdr:to>
    <xdr:graphicFrame macro="">
      <xdr:nvGraphicFramePr>
        <xdr:cNvPr id="8" name="Chart 7">
          <a:extLst>
            <a:ext uri="{FF2B5EF4-FFF2-40B4-BE49-F238E27FC236}">
              <a16:creationId xmlns:a16="http://schemas.microsoft.com/office/drawing/2014/main" id="{63E52ADA-827C-4A78-8018-8E26512FB8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571500</xdr:colOff>
      <xdr:row>39</xdr:row>
      <xdr:rowOff>161925</xdr:rowOff>
    </xdr:from>
    <xdr:to>
      <xdr:col>12</xdr:col>
      <xdr:colOff>457200</xdr:colOff>
      <xdr:row>77</xdr:row>
      <xdr:rowOff>161925</xdr:rowOff>
    </xdr:to>
    <xdr:graphicFrame macro="">
      <xdr:nvGraphicFramePr>
        <xdr:cNvPr id="7" name="Chart 6">
          <a:extLst>
            <a:ext uri="{FF2B5EF4-FFF2-40B4-BE49-F238E27FC236}">
              <a16:creationId xmlns:a16="http://schemas.microsoft.com/office/drawing/2014/main" id="{54C221CA-A1BF-4861-BA03-A1772F70EE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247650</xdr:colOff>
      <xdr:row>1</xdr:row>
      <xdr:rowOff>171450</xdr:rowOff>
    </xdr:from>
    <xdr:to>
      <xdr:col>13</xdr:col>
      <xdr:colOff>495300</xdr:colOff>
      <xdr:row>15</xdr:row>
      <xdr:rowOff>123825</xdr:rowOff>
    </xdr:to>
    <xdr:graphicFrame macro="">
      <xdr:nvGraphicFramePr>
        <xdr:cNvPr id="2" name="Chart 1">
          <a:extLst>
            <a:ext uri="{FF2B5EF4-FFF2-40B4-BE49-F238E27FC236}">
              <a16:creationId xmlns:a16="http://schemas.microsoft.com/office/drawing/2014/main" id="{B3362740-7E66-4C52-8BC1-BC6795B3D6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152400</xdr:colOff>
      <xdr:row>19</xdr:row>
      <xdr:rowOff>47625</xdr:rowOff>
    </xdr:from>
    <xdr:to>
      <xdr:col>14</xdr:col>
      <xdr:colOff>581025</xdr:colOff>
      <xdr:row>28</xdr:row>
      <xdr:rowOff>133350</xdr:rowOff>
    </xdr:to>
    <xdr:graphicFrame macro="">
      <xdr:nvGraphicFramePr>
        <xdr:cNvPr id="4" name="Chart 3">
          <a:extLst>
            <a:ext uri="{FF2B5EF4-FFF2-40B4-BE49-F238E27FC236}">
              <a16:creationId xmlns:a16="http://schemas.microsoft.com/office/drawing/2014/main" id="{472B5336-8530-4317-95E8-DAE80D28DB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228599</xdr:colOff>
      <xdr:row>41</xdr:row>
      <xdr:rowOff>180975</xdr:rowOff>
    </xdr:from>
    <xdr:to>
      <xdr:col>13</xdr:col>
      <xdr:colOff>228599</xdr:colOff>
      <xdr:row>56</xdr:row>
      <xdr:rowOff>66675</xdr:rowOff>
    </xdr:to>
    <xdr:graphicFrame macro="">
      <xdr:nvGraphicFramePr>
        <xdr:cNvPr id="5" name="Chart 4">
          <a:extLst>
            <a:ext uri="{FF2B5EF4-FFF2-40B4-BE49-F238E27FC236}">
              <a16:creationId xmlns:a16="http://schemas.microsoft.com/office/drawing/2014/main" id="{8E0AE92B-8DC8-4E0F-B8FB-C50407232F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69</xdr:row>
      <xdr:rowOff>57150</xdr:rowOff>
    </xdr:from>
    <xdr:to>
      <xdr:col>13</xdr:col>
      <xdr:colOff>542925</xdr:colOff>
      <xdr:row>92</xdr:row>
      <xdr:rowOff>152400</xdr:rowOff>
    </xdr:to>
    <xdr:graphicFrame macro="">
      <xdr:nvGraphicFramePr>
        <xdr:cNvPr id="6" name="Chart 5">
          <a:extLst>
            <a:ext uri="{FF2B5EF4-FFF2-40B4-BE49-F238E27FC236}">
              <a16:creationId xmlns:a16="http://schemas.microsoft.com/office/drawing/2014/main" id="{B3651B51-E61C-40FC-AFEF-475A65CF64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171451</xdr:colOff>
      <xdr:row>98</xdr:row>
      <xdr:rowOff>57149</xdr:rowOff>
    </xdr:from>
    <xdr:to>
      <xdr:col>13</xdr:col>
      <xdr:colOff>409575</xdr:colOff>
      <xdr:row>121</xdr:row>
      <xdr:rowOff>161925</xdr:rowOff>
    </xdr:to>
    <xdr:graphicFrame macro="">
      <xdr:nvGraphicFramePr>
        <xdr:cNvPr id="7" name="Chart 6">
          <a:extLst>
            <a:ext uri="{FF2B5EF4-FFF2-40B4-BE49-F238E27FC236}">
              <a16:creationId xmlns:a16="http://schemas.microsoft.com/office/drawing/2014/main" id="{ECE21BFD-7BE8-4639-B176-D76D1A979D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9524</xdr:colOff>
      <xdr:row>15</xdr:row>
      <xdr:rowOff>76200</xdr:rowOff>
    </xdr:from>
    <xdr:to>
      <xdr:col>12</xdr:col>
      <xdr:colOff>552449</xdr:colOff>
      <xdr:row>22</xdr:row>
      <xdr:rowOff>85725</xdr:rowOff>
    </xdr:to>
    <xdr:graphicFrame macro="">
      <xdr:nvGraphicFramePr>
        <xdr:cNvPr id="3" name="Chart 2">
          <a:extLst>
            <a:ext uri="{FF2B5EF4-FFF2-40B4-BE49-F238E27FC236}">
              <a16:creationId xmlns:a16="http://schemas.microsoft.com/office/drawing/2014/main" id="{00000000-0008-0000-0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119062</xdr:colOff>
      <xdr:row>1</xdr:row>
      <xdr:rowOff>171450</xdr:rowOff>
    </xdr:from>
    <xdr:to>
      <xdr:col>12</xdr:col>
      <xdr:colOff>438150</xdr:colOff>
      <xdr:row>14</xdr:row>
      <xdr:rowOff>133350</xdr:rowOff>
    </xdr:to>
    <xdr:graphicFrame macro="">
      <xdr:nvGraphicFramePr>
        <xdr:cNvPr id="6" name="Chart 5">
          <a:extLst>
            <a:ext uri="{FF2B5EF4-FFF2-40B4-BE49-F238E27FC236}">
              <a16:creationId xmlns:a16="http://schemas.microsoft.com/office/drawing/2014/main" id="{00000000-0008-0000-0F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171449</xdr:colOff>
      <xdr:row>27</xdr:row>
      <xdr:rowOff>19049</xdr:rowOff>
    </xdr:from>
    <xdr:to>
      <xdr:col>14</xdr:col>
      <xdr:colOff>314325</xdr:colOff>
      <xdr:row>42</xdr:row>
      <xdr:rowOff>19050</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6:I47"/>
  <sheetViews>
    <sheetView topLeftCell="A13" workbookViewId="0">
      <selection activeCell="J46" sqref="J46"/>
    </sheetView>
  </sheetViews>
  <sheetFormatPr defaultRowHeight="15" x14ac:dyDescent="0.25"/>
  <sheetData>
    <row r="16" spans="1:9" ht="31.5" customHeight="1" x14ac:dyDescent="0.25">
      <c r="A16" s="421" t="s">
        <v>483</v>
      </c>
      <c r="B16" s="421"/>
      <c r="C16" s="421"/>
      <c r="D16" s="421"/>
      <c r="E16" s="421"/>
      <c r="F16" s="421"/>
      <c r="G16" s="421"/>
      <c r="H16" s="421"/>
      <c r="I16" s="421"/>
    </row>
    <row r="47" spans="5:5" x14ac:dyDescent="0.25">
      <c r="E47" s="16" t="s">
        <v>482</v>
      </c>
    </row>
  </sheetData>
  <mergeCells count="1">
    <mergeCell ref="A16:I1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7"/>
  <sheetViews>
    <sheetView zoomScaleNormal="100" workbookViewId="0"/>
  </sheetViews>
  <sheetFormatPr defaultRowHeight="15" x14ac:dyDescent="0.25"/>
  <cols>
    <col min="1" max="1" width="12.85546875" customWidth="1"/>
    <col min="2" max="2" width="36.5703125" customWidth="1"/>
    <col min="3" max="3" width="8.28515625" customWidth="1"/>
    <col min="4" max="4" width="8.42578125" customWidth="1"/>
    <col min="5" max="5" width="12" bestFit="1" customWidth="1"/>
    <col min="6" max="6" width="8.140625" customWidth="1"/>
    <col min="7" max="7" width="12.85546875" style="31" bestFit="1" customWidth="1"/>
    <col min="8" max="8" width="11.140625" customWidth="1"/>
  </cols>
  <sheetData>
    <row r="1" spans="1:8" x14ac:dyDescent="0.25">
      <c r="A1" s="415" t="s">
        <v>545</v>
      </c>
    </row>
    <row r="3" spans="1:8" ht="135" x14ac:dyDescent="0.25">
      <c r="A3" s="191" t="s">
        <v>281</v>
      </c>
      <c r="B3" s="191" t="s">
        <v>323</v>
      </c>
      <c r="C3" s="192" t="s">
        <v>556</v>
      </c>
      <c r="D3" s="192" t="s">
        <v>557</v>
      </c>
      <c r="E3" s="192" t="s">
        <v>325</v>
      </c>
      <c r="F3" s="192" t="s">
        <v>557</v>
      </c>
      <c r="G3" s="145" t="s">
        <v>559</v>
      </c>
      <c r="H3" s="192" t="s">
        <v>558</v>
      </c>
    </row>
    <row r="4" spans="1:8" ht="30" x14ac:dyDescent="0.25">
      <c r="A4" s="196" t="s">
        <v>278</v>
      </c>
      <c r="B4" s="199" t="s">
        <v>296</v>
      </c>
      <c r="C4" s="197">
        <v>35</v>
      </c>
      <c r="D4" s="198">
        <f>C4/C23</f>
        <v>0.23972602739726026</v>
      </c>
      <c r="E4" s="197">
        <v>168025192</v>
      </c>
      <c r="F4" s="198">
        <f>E4/E23</f>
        <v>0.25904779169676129</v>
      </c>
      <c r="G4" s="197">
        <v>94193029</v>
      </c>
      <c r="H4" s="198">
        <f>G4/G23</f>
        <v>0.68615996908584143</v>
      </c>
    </row>
    <row r="5" spans="1:8" x14ac:dyDescent="0.25">
      <c r="A5" s="193" t="s">
        <v>327</v>
      </c>
      <c r="B5" s="193" t="s">
        <v>328</v>
      </c>
      <c r="C5" s="194">
        <v>4</v>
      </c>
      <c r="D5" s="195">
        <f>C5/C23</f>
        <v>2.7397260273972601E-2</v>
      </c>
      <c r="E5" s="194">
        <v>124242227</v>
      </c>
      <c r="F5" s="195">
        <f>E5/E23</f>
        <v>0.19154672080266233</v>
      </c>
      <c r="G5" s="194">
        <v>7016282</v>
      </c>
      <c r="H5" s="195">
        <f>G5/G23</f>
        <v>5.1110914377937099E-2</v>
      </c>
    </row>
    <row r="6" spans="1:8" ht="30" x14ac:dyDescent="0.25">
      <c r="A6" s="2" t="s">
        <v>333</v>
      </c>
      <c r="B6" s="12" t="s">
        <v>332</v>
      </c>
      <c r="C6" s="6">
        <v>7</v>
      </c>
      <c r="D6" s="8">
        <f>C6/C23</f>
        <v>4.7945205479452052E-2</v>
      </c>
      <c r="E6" s="6">
        <v>110822176</v>
      </c>
      <c r="F6" s="8">
        <f>E6/E23</f>
        <v>0.17085676035906461</v>
      </c>
      <c r="G6" s="6">
        <v>243680</v>
      </c>
      <c r="H6" s="8">
        <f>G6/G23</f>
        <v>1.7751150275339149E-3</v>
      </c>
    </row>
    <row r="7" spans="1:8" ht="45" x14ac:dyDescent="0.25">
      <c r="A7" s="196" t="s">
        <v>289</v>
      </c>
      <c r="B7" s="199" t="s">
        <v>288</v>
      </c>
      <c r="C7" s="197">
        <v>42</v>
      </c>
      <c r="D7" s="198">
        <f>C7/C23</f>
        <v>0.28767123287671231</v>
      </c>
      <c r="E7" s="197">
        <v>108850559</v>
      </c>
      <c r="F7" s="198">
        <f>E7/E23</f>
        <v>0.16781707908364138</v>
      </c>
      <c r="G7" s="197">
        <v>0</v>
      </c>
      <c r="H7" s="198">
        <f>G7/G23</f>
        <v>0</v>
      </c>
    </row>
    <row r="8" spans="1:8" ht="30" x14ac:dyDescent="0.25">
      <c r="A8" s="196" t="s">
        <v>295</v>
      </c>
      <c r="B8" s="199" t="s">
        <v>294</v>
      </c>
      <c r="C8" s="197">
        <v>16</v>
      </c>
      <c r="D8" s="198">
        <f>C8/C23</f>
        <v>0.1095890410958904</v>
      </c>
      <c r="E8" s="197">
        <v>49064313</v>
      </c>
      <c r="F8" s="198">
        <f>E8/E23</f>
        <v>7.5643430502782563E-2</v>
      </c>
      <c r="G8" s="197">
        <v>7733939</v>
      </c>
      <c r="H8" s="198">
        <f>G8/G23</f>
        <v>5.6338769455559004E-2</v>
      </c>
    </row>
    <row r="9" spans="1:8" ht="17.25" customHeight="1" x14ac:dyDescent="0.25">
      <c r="A9" s="2" t="s">
        <v>292</v>
      </c>
      <c r="B9" s="12" t="s">
        <v>300</v>
      </c>
      <c r="C9" s="6">
        <v>15</v>
      </c>
      <c r="D9" s="8">
        <f>C9/C23</f>
        <v>0.10273972602739725</v>
      </c>
      <c r="E9" s="6">
        <v>34382508</v>
      </c>
      <c r="F9" s="8">
        <f>E9/E23</f>
        <v>5.3008198737224052E-2</v>
      </c>
      <c r="G9" s="179">
        <v>547280</v>
      </c>
      <c r="H9" s="8">
        <f>G9/G23</f>
        <v>3.9867241967693739E-3</v>
      </c>
    </row>
    <row r="10" spans="1:8" ht="30" x14ac:dyDescent="0.25">
      <c r="A10" s="196" t="s">
        <v>290</v>
      </c>
      <c r="B10" s="199" t="s">
        <v>297</v>
      </c>
      <c r="C10" s="197">
        <v>2</v>
      </c>
      <c r="D10" s="198">
        <f>C10/C23</f>
        <v>1.3698630136986301E-2</v>
      </c>
      <c r="E10" s="197">
        <v>12593960</v>
      </c>
      <c r="F10" s="198">
        <f>E10/E23</f>
        <v>1.9416359463034234E-2</v>
      </c>
      <c r="G10" s="197">
        <v>12593960</v>
      </c>
      <c r="H10" s="198">
        <f>G10/G23</f>
        <v>9.1742152216681805E-2</v>
      </c>
    </row>
    <row r="11" spans="1:8" x14ac:dyDescent="0.25">
      <c r="A11" s="196" t="s">
        <v>299</v>
      </c>
      <c r="B11" s="196" t="s">
        <v>298</v>
      </c>
      <c r="C11" s="197">
        <v>2</v>
      </c>
      <c r="D11" s="198">
        <f>C11/C23</f>
        <v>1.3698630136986301E-2</v>
      </c>
      <c r="E11" s="197">
        <v>8445850</v>
      </c>
      <c r="F11" s="198">
        <f>E11/E23</f>
        <v>1.302113549438522E-2</v>
      </c>
      <c r="G11" s="197">
        <v>8445850</v>
      </c>
      <c r="H11" s="198">
        <f>G11/G23</f>
        <v>6.1524767134345515E-2</v>
      </c>
    </row>
    <row r="12" spans="1:8" ht="44.25" customHeight="1" x14ac:dyDescent="0.25">
      <c r="A12" s="2" t="s">
        <v>337</v>
      </c>
      <c r="B12" s="12" t="s">
        <v>336</v>
      </c>
      <c r="C12" s="6">
        <v>2</v>
      </c>
      <c r="D12" s="8">
        <f>C12/C23</f>
        <v>1.3698630136986301E-2</v>
      </c>
      <c r="E12" s="6">
        <v>5579500</v>
      </c>
      <c r="F12" s="8">
        <f>E12/E23</f>
        <v>8.6020264971462118E-3</v>
      </c>
      <c r="G12" s="6">
        <v>0</v>
      </c>
      <c r="H12" s="8">
        <f>G12/G23</f>
        <v>0</v>
      </c>
    </row>
    <row r="13" spans="1:8" ht="45" x14ac:dyDescent="0.25">
      <c r="A13" s="196" t="s">
        <v>330</v>
      </c>
      <c r="B13" s="199" t="s">
        <v>329</v>
      </c>
      <c r="C13" s="197">
        <v>7</v>
      </c>
      <c r="D13" s="198">
        <f>C13/C23</f>
        <v>4.7945205479452052E-2</v>
      </c>
      <c r="E13" s="197">
        <v>5584748</v>
      </c>
      <c r="F13" s="198">
        <f>E13/E23</f>
        <v>8.6101174434777862E-3</v>
      </c>
      <c r="G13" s="197">
        <v>1810640</v>
      </c>
      <c r="H13" s="198">
        <f>G13/G23</f>
        <v>1.3189815633018746E-2</v>
      </c>
    </row>
    <row r="14" spans="1:8" ht="45" x14ac:dyDescent="0.25">
      <c r="A14" s="2" t="s">
        <v>302</v>
      </c>
      <c r="B14" s="19" t="s">
        <v>301</v>
      </c>
      <c r="C14" s="6">
        <v>2</v>
      </c>
      <c r="D14" s="8">
        <f>C14/C23</f>
        <v>1.3698630136986301E-2</v>
      </c>
      <c r="E14" s="6">
        <v>4242425</v>
      </c>
      <c r="F14" s="8">
        <f>E14/E23</f>
        <v>6.5406312863438513E-3</v>
      </c>
      <c r="G14" s="6">
        <v>0</v>
      </c>
      <c r="H14" s="8">
        <f>G14/G23</f>
        <v>0</v>
      </c>
    </row>
    <row r="15" spans="1:8" ht="30" x14ac:dyDescent="0.25">
      <c r="A15" s="2" t="s">
        <v>326</v>
      </c>
      <c r="B15" s="12" t="s">
        <v>331</v>
      </c>
      <c r="C15" s="6">
        <v>2</v>
      </c>
      <c r="D15" s="8">
        <f>C15/C23</f>
        <v>1.3698630136986301E-2</v>
      </c>
      <c r="E15" s="6">
        <v>4000000</v>
      </c>
      <c r="F15" s="8">
        <f>E15/E23</f>
        <v>6.1668798258956619E-3</v>
      </c>
      <c r="G15" s="6">
        <v>0</v>
      </c>
      <c r="H15" s="8">
        <f>G15/G23</f>
        <v>0</v>
      </c>
    </row>
    <row r="16" spans="1:8" ht="45" x14ac:dyDescent="0.25">
      <c r="A16" s="2" t="s">
        <v>551</v>
      </c>
      <c r="B16" s="12" t="s">
        <v>550</v>
      </c>
      <c r="C16" s="6">
        <v>1</v>
      </c>
      <c r="D16" s="8">
        <f>C16/C23</f>
        <v>6.8493150684931503E-3</v>
      </c>
      <c r="E16" s="6">
        <v>3761925</v>
      </c>
      <c r="F16" s="8">
        <f>E16/E23</f>
        <v>5.7998348472581346E-3</v>
      </c>
      <c r="G16" s="6">
        <v>0</v>
      </c>
      <c r="H16" s="8">
        <f>G16/G23</f>
        <v>0</v>
      </c>
    </row>
    <row r="17" spans="1:8" ht="30" x14ac:dyDescent="0.25">
      <c r="A17" s="196" t="s">
        <v>549</v>
      </c>
      <c r="B17" s="199" t="s">
        <v>548</v>
      </c>
      <c r="C17" s="197">
        <v>2</v>
      </c>
      <c r="D17" s="198">
        <f>C17/C23</f>
        <v>1.3698630136986301E-2</v>
      </c>
      <c r="E17" s="197">
        <v>2696573</v>
      </c>
      <c r="F17" s="198">
        <f>E17/E23</f>
        <v>4.157360408188736E-3</v>
      </c>
      <c r="G17" s="197">
        <v>0</v>
      </c>
      <c r="H17" s="198">
        <f>G17/G23</f>
        <v>0</v>
      </c>
    </row>
    <row r="18" spans="1:8" x14ac:dyDescent="0.25">
      <c r="A18" s="196" t="s">
        <v>291</v>
      </c>
      <c r="B18" s="196" t="s">
        <v>293</v>
      </c>
      <c r="C18" s="197">
        <v>1</v>
      </c>
      <c r="D18" s="198">
        <f>C18/C23</f>
        <v>6.8493150684931503E-3</v>
      </c>
      <c r="E18" s="197">
        <v>2160000</v>
      </c>
      <c r="F18" s="198">
        <f>E18/E23</f>
        <v>3.3301151059836574E-3</v>
      </c>
      <c r="G18" s="197">
        <v>2160000</v>
      </c>
      <c r="H18" s="198">
        <f>G18/G23</f>
        <v>1.573476879297955E-2</v>
      </c>
    </row>
    <row r="19" spans="1:8" ht="30" x14ac:dyDescent="0.25">
      <c r="A19" s="2" t="s">
        <v>555</v>
      </c>
      <c r="B19" s="12" t="s">
        <v>554</v>
      </c>
      <c r="C19" s="6">
        <v>2</v>
      </c>
      <c r="D19" s="8">
        <f>C19/C23</f>
        <v>1.3698630136986301E-2</v>
      </c>
      <c r="E19" s="6">
        <v>1555959</v>
      </c>
      <c r="F19" s="8">
        <f>E19/E23</f>
        <v>2.3988530417551972E-3</v>
      </c>
      <c r="G19" s="179">
        <v>1555959</v>
      </c>
      <c r="H19" s="8">
        <f>G19/G23</f>
        <v>1.1334562553868364E-2</v>
      </c>
    </row>
    <row r="20" spans="1:8" ht="45" x14ac:dyDescent="0.25">
      <c r="A20" s="196" t="s">
        <v>546</v>
      </c>
      <c r="B20" s="199" t="s">
        <v>547</v>
      </c>
      <c r="C20" s="197">
        <v>2</v>
      </c>
      <c r="D20" s="198">
        <f>C20/C23</f>
        <v>1.3698630136986301E-2</v>
      </c>
      <c r="E20" s="197">
        <v>1181005</v>
      </c>
      <c r="F20" s="198">
        <f>E20/E23</f>
        <v>1.8207789771954766E-3</v>
      </c>
      <c r="G20" s="197">
        <v>0</v>
      </c>
      <c r="H20" s="198">
        <f>G20/G23</f>
        <v>0</v>
      </c>
    </row>
    <row r="21" spans="1:8" ht="45" x14ac:dyDescent="0.25">
      <c r="A21" s="2" t="s">
        <v>335</v>
      </c>
      <c r="B21" s="12" t="s">
        <v>334</v>
      </c>
      <c r="C21" s="6">
        <v>1</v>
      </c>
      <c r="D21" s="8">
        <f>C21/C23</f>
        <v>6.8493150684931503E-3</v>
      </c>
      <c r="E21" s="6">
        <v>974992</v>
      </c>
      <c r="F21" s="8">
        <f>E21/E23</f>
        <v>1.5031646238024157E-3</v>
      </c>
      <c r="G21" s="6">
        <v>974992</v>
      </c>
      <c r="H21" s="8">
        <f>G21/G23</f>
        <v>7.1024415254651464E-3</v>
      </c>
    </row>
    <row r="22" spans="1:8" ht="15.75" customHeight="1" x14ac:dyDescent="0.25">
      <c r="A22" s="2" t="s">
        <v>552</v>
      </c>
      <c r="B22" s="12" t="s">
        <v>553</v>
      </c>
      <c r="C22" s="6">
        <v>1</v>
      </c>
      <c r="D22" s="8">
        <f>C22/C23</f>
        <v>6.8493150684931503E-3</v>
      </c>
      <c r="E22" s="6">
        <v>462316</v>
      </c>
      <c r="F22" s="8">
        <f>E22/E23</f>
        <v>7.1276180339719471E-4</v>
      </c>
      <c r="G22" s="6">
        <v>0</v>
      </c>
      <c r="H22" s="8">
        <f>G22/G23</f>
        <v>0</v>
      </c>
    </row>
    <row r="23" spans="1:8" x14ac:dyDescent="0.25">
      <c r="A23" s="167"/>
      <c r="B23" s="133" t="s">
        <v>338</v>
      </c>
      <c r="C23" s="168">
        <f t="shared" ref="C23:H23" si="0">SUM(C4:C22)</f>
        <v>146</v>
      </c>
      <c r="D23" s="169">
        <f t="shared" si="0"/>
        <v>1.0000000000000004</v>
      </c>
      <c r="E23" s="168">
        <f t="shared" si="0"/>
        <v>648626228</v>
      </c>
      <c r="F23" s="169">
        <f t="shared" si="0"/>
        <v>1.0000000000000002</v>
      </c>
      <c r="G23" s="168">
        <f t="shared" si="0"/>
        <v>137275611</v>
      </c>
      <c r="H23" s="169">
        <f t="shared" si="0"/>
        <v>1</v>
      </c>
    </row>
    <row r="24" spans="1:8" x14ac:dyDescent="0.25">
      <c r="C24" s="31"/>
      <c r="D24" s="31"/>
      <c r="E24" s="31"/>
      <c r="F24" s="31"/>
      <c r="H24" s="31"/>
    </row>
    <row r="25" spans="1:8" x14ac:dyDescent="0.25">
      <c r="H25" s="31"/>
    </row>
    <row r="26" spans="1:8" x14ac:dyDescent="0.25">
      <c r="C26" s="31"/>
      <c r="D26" s="31"/>
      <c r="E26" s="31"/>
      <c r="F26" s="31"/>
      <c r="H26" s="31"/>
    </row>
    <row r="27" spans="1:8" x14ac:dyDescent="0.25">
      <c r="F27" s="31"/>
      <c r="H27" s="31"/>
    </row>
    <row r="28" spans="1:8" x14ac:dyDescent="0.25">
      <c r="C28" s="31"/>
      <c r="D28" s="31"/>
      <c r="E28" s="31"/>
      <c r="F28" s="31"/>
      <c r="H28" s="31"/>
    </row>
    <row r="29" spans="1:8" x14ac:dyDescent="0.25">
      <c r="C29" s="31"/>
      <c r="D29" s="31"/>
      <c r="E29" s="31"/>
      <c r="F29" s="31"/>
      <c r="H29" s="31"/>
    </row>
    <row r="30" spans="1:8" x14ac:dyDescent="0.25">
      <c r="C30" s="31"/>
      <c r="D30" s="31"/>
      <c r="E30" s="31"/>
      <c r="F30" s="31"/>
      <c r="H30" s="31"/>
    </row>
    <row r="31" spans="1:8" x14ac:dyDescent="0.25">
      <c r="C31" s="31"/>
      <c r="D31" s="31"/>
      <c r="E31" s="31"/>
      <c r="F31" s="31"/>
      <c r="H31" s="31"/>
    </row>
    <row r="32" spans="1:8" x14ac:dyDescent="0.25">
      <c r="C32" s="31"/>
      <c r="D32" s="31"/>
      <c r="E32" s="31"/>
      <c r="F32" s="31"/>
      <c r="H32" s="31"/>
    </row>
    <row r="33" spans="3:8" x14ac:dyDescent="0.25">
      <c r="C33" s="31"/>
      <c r="D33" s="31"/>
      <c r="E33" s="31"/>
      <c r="F33" s="31"/>
      <c r="H33" s="31"/>
    </row>
    <row r="34" spans="3:8" x14ac:dyDescent="0.25">
      <c r="C34" s="31"/>
      <c r="D34" s="31"/>
      <c r="E34" s="31"/>
      <c r="F34" s="31"/>
      <c r="H34" s="31"/>
    </row>
    <row r="35" spans="3:8" x14ac:dyDescent="0.25">
      <c r="C35" s="31"/>
      <c r="D35" s="31"/>
      <c r="E35" s="31"/>
      <c r="F35" s="31"/>
      <c r="H35" s="31"/>
    </row>
    <row r="36" spans="3:8" x14ac:dyDescent="0.25">
      <c r="C36" s="31"/>
      <c r="D36" s="31"/>
      <c r="E36" s="31"/>
      <c r="F36" s="31"/>
      <c r="H36" s="31"/>
    </row>
    <row r="37" spans="3:8" x14ac:dyDescent="0.25">
      <c r="C37" s="31"/>
      <c r="D37" s="31"/>
      <c r="E37" s="31"/>
      <c r="F37" s="31"/>
      <c r="H37" s="31"/>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89"/>
  <sheetViews>
    <sheetView topLeftCell="A64" workbookViewId="0">
      <selection activeCell="A74" sqref="A74"/>
    </sheetView>
  </sheetViews>
  <sheetFormatPr defaultRowHeight="15" x14ac:dyDescent="0.25"/>
  <cols>
    <col min="1" max="1" width="12" customWidth="1"/>
    <col min="2" max="3" width="10.85546875" bestFit="1" customWidth="1"/>
    <col min="4" max="4" width="10.85546875" style="31" bestFit="1" customWidth="1"/>
    <col min="5" max="6" width="10.85546875" bestFit="1" customWidth="1"/>
    <col min="7" max="7" width="16.28515625" customWidth="1"/>
    <col min="8" max="8" width="14.85546875" bestFit="1" customWidth="1"/>
    <col min="9" max="11" width="10.5703125" bestFit="1" customWidth="1"/>
    <col min="15" max="15" width="9.5703125" bestFit="1" customWidth="1"/>
    <col min="16" max="16" width="9.85546875" bestFit="1" customWidth="1"/>
  </cols>
  <sheetData>
    <row r="1" spans="1:16" ht="30" customHeight="1" x14ac:dyDescent="0.25">
      <c r="A1" s="456" t="s">
        <v>560</v>
      </c>
      <c r="B1" s="456"/>
      <c r="C1" s="456"/>
      <c r="D1" s="456"/>
      <c r="E1" s="456"/>
      <c r="F1" s="456"/>
      <c r="G1" s="151"/>
      <c r="H1" s="151"/>
      <c r="I1" s="151"/>
      <c r="J1" s="151"/>
      <c r="K1" s="151"/>
      <c r="L1" s="151"/>
    </row>
    <row r="3" spans="1:16" ht="60.75" thickBot="1" x14ac:dyDescent="0.3">
      <c r="A3" s="122" t="s">
        <v>280</v>
      </c>
      <c r="B3" s="367" t="s">
        <v>281</v>
      </c>
      <c r="C3" s="367" t="s">
        <v>282</v>
      </c>
      <c r="D3" s="368" t="s">
        <v>283</v>
      </c>
      <c r="G3" s="18"/>
      <c r="H3" s="44"/>
      <c r="I3" s="44"/>
      <c r="J3" s="44"/>
      <c r="K3" s="44"/>
      <c r="L3" s="44"/>
      <c r="M3" s="18"/>
      <c r="O3" s="31"/>
      <c r="P3" s="31"/>
    </row>
    <row r="4" spans="1:16" x14ac:dyDescent="0.25">
      <c r="A4" s="473" t="s">
        <v>398</v>
      </c>
      <c r="B4" s="14" t="s">
        <v>291</v>
      </c>
      <c r="C4" s="14" t="s">
        <v>260</v>
      </c>
      <c r="D4" s="180">
        <v>2160000</v>
      </c>
      <c r="F4" s="18"/>
      <c r="G4" s="117"/>
      <c r="H4" s="155"/>
      <c r="I4" s="32"/>
      <c r="J4" s="152"/>
      <c r="K4" s="32"/>
      <c r="L4" s="152"/>
    </row>
    <row r="5" spans="1:16" x14ac:dyDescent="0.25">
      <c r="A5" s="470"/>
      <c r="B5" s="2" t="s">
        <v>266</v>
      </c>
      <c r="C5" s="139" t="s">
        <v>269</v>
      </c>
      <c r="D5" s="179">
        <v>1093823</v>
      </c>
      <c r="G5" s="117"/>
      <c r="H5" s="155"/>
      <c r="I5" s="32"/>
      <c r="J5" s="152"/>
      <c r="K5" s="32"/>
      <c r="L5" s="152"/>
    </row>
    <row r="6" spans="1:16" x14ac:dyDescent="0.25">
      <c r="A6" s="470"/>
      <c r="B6" s="2" t="s">
        <v>266</v>
      </c>
      <c r="C6" s="139" t="s">
        <v>267</v>
      </c>
      <c r="D6" s="179">
        <v>342900</v>
      </c>
      <c r="F6" s="18"/>
      <c r="G6" s="18"/>
      <c r="H6" s="155"/>
      <c r="I6" s="32"/>
      <c r="J6" s="152"/>
      <c r="K6" s="32"/>
      <c r="L6" s="152"/>
    </row>
    <row r="7" spans="1:16" x14ac:dyDescent="0.25">
      <c r="A7" s="470"/>
      <c r="B7" s="2" t="s">
        <v>266</v>
      </c>
      <c r="C7" s="139" t="s">
        <v>270</v>
      </c>
      <c r="D7" s="179">
        <v>1059000</v>
      </c>
      <c r="F7" s="18"/>
      <c r="G7" s="18"/>
      <c r="H7" s="155"/>
      <c r="I7" s="32"/>
      <c r="J7" s="152"/>
      <c r="K7" s="32"/>
      <c r="L7" s="152"/>
    </row>
    <row r="8" spans="1:16" x14ac:dyDescent="0.25">
      <c r="A8" s="470"/>
      <c r="B8" s="135" t="s">
        <v>295</v>
      </c>
      <c r="C8" s="139" t="s">
        <v>270</v>
      </c>
      <c r="D8" s="179">
        <v>2043400</v>
      </c>
      <c r="E8" s="31"/>
      <c r="F8" s="18"/>
      <c r="G8" s="18"/>
      <c r="H8" s="155"/>
      <c r="I8" s="32"/>
      <c r="J8" s="152"/>
      <c r="K8" s="32"/>
      <c r="L8" s="152"/>
    </row>
    <row r="9" spans="1:16" x14ac:dyDescent="0.25">
      <c r="A9" s="470"/>
      <c r="B9" s="2" t="s">
        <v>266</v>
      </c>
      <c r="C9" s="139" t="s">
        <v>262</v>
      </c>
      <c r="D9" s="179">
        <v>1137585</v>
      </c>
      <c r="F9" s="18"/>
      <c r="G9" s="18"/>
      <c r="H9" s="155"/>
      <c r="I9" s="32"/>
      <c r="J9" s="152"/>
      <c r="K9" s="32"/>
      <c r="L9" s="152"/>
    </row>
    <row r="10" spans="1:16" x14ac:dyDescent="0.25">
      <c r="A10" s="470"/>
      <c r="B10" s="135" t="s">
        <v>562</v>
      </c>
      <c r="C10" s="139" t="s">
        <v>259</v>
      </c>
      <c r="D10" s="179">
        <v>1555391</v>
      </c>
      <c r="E10" s="31"/>
      <c r="F10" s="18"/>
      <c r="G10" s="18"/>
      <c r="H10" s="155"/>
      <c r="I10" s="32"/>
      <c r="J10" s="152"/>
      <c r="K10" s="32"/>
      <c r="L10" s="152"/>
    </row>
    <row r="11" spans="1:16" x14ac:dyDescent="0.25">
      <c r="A11" s="470"/>
      <c r="B11" s="135" t="s">
        <v>563</v>
      </c>
      <c r="C11" s="139" t="s">
        <v>258</v>
      </c>
      <c r="D11" s="179">
        <v>501840</v>
      </c>
      <c r="G11" s="117"/>
      <c r="H11" s="155"/>
      <c r="I11" s="32"/>
      <c r="J11" s="152"/>
      <c r="K11" s="32"/>
      <c r="L11" s="152"/>
    </row>
    <row r="12" spans="1:16" x14ac:dyDescent="0.25">
      <c r="A12" s="470"/>
      <c r="B12" s="2" t="s">
        <v>261</v>
      </c>
      <c r="C12" s="139" t="s">
        <v>262</v>
      </c>
      <c r="D12" s="179">
        <v>7888500</v>
      </c>
      <c r="F12" s="18"/>
      <c r="G12" s="18"/>
      <c r="H12" s="155"/>
      <c r="I12" s="153"/>
      <c r="J12" s="154"/>
      <c r="K12" s="153"/>
      <c r="L12" s="152"/>
    </row>
    <row r="13" spans="1:16" x14ac:dyDescent="0.25">
      <c r="A13" s="470"/>
      <c r="B13" s="2" t="s">
        <v>261</v>
      </c>
      <c r="C13" s="139" t="s">
        <v>262</v>
      </c>
      <c r="D13" s="179">
        <v>4705460</v>
      </c>
      <c r="F13" s="18"/>
      <c r="G13" s="18"/>
      <c r="H13" s="155"/>
      <c r="K13" s="31"/>
    </row>
    <row r="14" spans="1:16" x14ac:dyDescent="0.25">
      <c r="A14" s="470"/>
      <c r="B14" s="2" t="s">
        <v>561</v>
      </c>
      <c r="C14" s="139" t="s">
        <v>259</v>
      </c>
      <c r="D14" s="179">
        <v>1810640</v>
      </c>
      <c r="F14" s="18"/>
      <c r="G14" s="18"/>
      <c r="H14" s="155"/>
      <c r="K14" s="31"/>
      <c r="N14" s="150"/>
    </row>
    <row r="15" spans="1:16" x14ac:dyDescent="0.25">
      <c r="A15" s="470"/>
      <c r="B15" s="2" t="s">
        <v>264</v>
      </c>
      <c r="C15" s="139" t="s">
        <v>265</v>
      </c>
      <c r="D15" s="179">
        <v>7961430</v>
      </c>
      <c r="F15" s="18"/>
      <c r="G15" s="117"/>
      <c r="H15" s="155"/>
    </row>
    <row r="16" spans="1:16" x14ac:dyDescent="0.25">
      <c r="A16" s="470"/>
      <c r="B16" s="135" t="s">
        <v>564</v>
      </c>
      <c r="C16" s="139" t="s">
        <v>287</v>
      </c>
      <c r="D16" s="179">
        <v>974992</v>
      </c>
      <c r="H16" s="31"/>
    </row>
    <row r="17" spans="1:15" x14ac:dyDescent="0.25">
      <c r="A17" s="470"/>
      <c r="B17" s="2" t="s">
        <v>555</v>
      </c>
      <c r="C17" s="139" t="s">
        <v>279</v>
      </c>
      <c r="D17" s="179">
        <v>760959</v>
      </c>
    </row>
    <row r="18" spans="1:15" ht="15.75" thickBot="1" x14ac:dyDescent="0.3">
      <c r="A18" s="474"/>
      <c r="B18" s="2"/>
      <c r="C18" s="139" t="s">
        <v>279</v>
      </c>
      <c r="D18" s="179">
        <v>795000</v>
      </c>
      <c r="H18" s="156"/>
    </row>
    <row r="19" spans="1:15" ht="30.75" thickBot="1" x14ac:dyDescent="0.3">
      <c r="A19" s="355" t="s">
        <v>399</v>
      </c>
      <c r="B19" s="143" t="s">
        <v>565</v>
      </c>
      <c r="C19" s="141" t="s">
        <v>262</v>
      </c>
      <c r="D19" s="178">
        <v>484420</v>
      </c>
    </row>
    <row r="20" spans="1:15" x14ac:dyDescent="0.25">
      <c r="A20" s="469" t="s">
        <v>246</v>
      </c>
      <c r="B20" s="143" t="s">
        <v>274</v>
      </c>
      <c r="C20" s="141" t="s">
        <v>275</v>
      </c>
      <c r="D20" s="178">
        <v>547891</v>
      </c>
    </row>
    <row r="21" spans="1:15" x14ac:dyDescent="0.25">
      <c r="A21" s="472"/>
      <c r="B21" s="135" t="s">
        <v>273</v>
      </c>
      <c r="C21" s="175" t="s">
        <v>262</v>
      </c>
      <c r="D21" s="180">
        <v>23151</v>
      </c>
      <c r="F21" s="31"/>
    </row>
    <row r="22" spans="1:15" x14ac:dyDescent="0.25">
      <c r="A22" s="436"/>
      <c r="B22" s="135"/>
      <c r="C22" s="139" t="s">
        <v>263</v>
      </c>
      <c r="D22" s="179">
        <v>24600</v>
      </c>
      <c r="F22" s="31"/>
    </row>
    <row r="23" spans="1:15" x14ac:dyDescent="0.25">
      <c r="A23" s="436"/>
      <c r="B23" s="336"/>
      <c r="C23" s="139" t="s">
        <v>262</v>
      </c>
      <c r="D23" s="179">
        <v>25480</v>
      </c>
      <c r="O23" s="31"/>
    </row>
    <row r="24" spans="1:15" x14ac:dyDescent="0.25">
      <c r="A24" s="436"/>
      <c r="B24" s="2" t="s">
        <v>566</v>
      </c>
      <c r="C24" s="139" t="s">
        <v>277</v>
      </c>
      <c r="D24" s="179">
        <v>3754760</v>
      </c>
      <c r="E24" s="31"/>
    </row>
    <row r="25" spans="1:15" ht="15.75" thickBot="1" x14ac:dyDescent="0.3">
      <c r="A25" s="471"/>
      <c r="B25" s="140" t="s">
        <v>271</v>
      </c>
      <c r="C25" s="142" t="s">
        <v>270</v>
      </c>
      <c r="D25" s="177">
        <v>547280</v>
      </c>
      <c r="E25" s="31"/>
    </row>
    <row r="26" spans="1:15" x14ac:dyDescent="0.25">
      <c r="A26" s="469" t="s">
        <v>16</v>
      </c>
      <c r="B26" s="143" t="s">
        <v>567</v>
      </c>
      <c r="C26" s="141" t="s">
        <v>259</v>
      </c>
      <c r="D26" s="178">
        <v>3944000</v>
      </c>
    </row>
    <row r="27" spans="1:15" x14ac:dyDescent="0.25">
      <c r="A27" s="470"/>
      <c r="B27" s="59" t="s">
        <v>276</v>
      </c>
      <c r="C27" s="369" t="s">
        <v>262</v>
      </c>
      <c r="D27" s="370">
        <v>783200</v>
      </c>
    </row>
    <row r="28" spans="1:15" x14ac:dyDescent="0.25">
      <c r="A28" s="470"/>
      <c r="B28" s="135" t="s">
        <v>569</v>
      </c>
      <c r="C28" s="139" t="s">
        <v>277</v>
      </c>
      <c r="D28" s="179">
        <v>21499670</v>
      </c>
    </row>
    <row r="29" spans="1:15" ht="15.75" thickBot="1" x14ac:dyDescent="0.3">
      <c r="A29" s="471"/>
      <c r="B29" s="336" t="s">
        <v>568</v>
      </c>
      <c r="C29" s="361" t="s">
        <v>270</v>
      </c>
      <c r="D29" s="362">
        <v>62591477</v>
      </c>
      <c r="E29" s="31"/>
    </row>
    <row r="30" spans="1:15" ht="15.75" thickBot="1" x14ac:dyDescent="0.3">
      <c r="A30" s="363" t="s">
        <v>19</v>
      </c>
      <c r="B30" s="364" t="s">
        <v>570</v>
      </c>
      <c r="C30" s="365" t="s">
        <v>260</v>
      </c>
      <c r="D30" s="366">
        <v>243680</v>
      </c>
      <c r="F30" s="31"/>
    </row>
    <row r="31" spans="1:15" x14ac:dyDescent="0.25">
      <c r="A31" s="475" t="s">
        <v>18</v>
      </c>
      <c r="B31" s="337" t="s">
        <v>571</v>
      </c>
      <c r="C31" s="175" t="s">
        <v>286</v>
      </c>
      <c r="D31" s="180">
        <v>3523075</v>
      </c>
      <c r="F31" s="31"/>
    </row>
    <row r="32" spans="1:15" x14ac:dyDescent="0.25">
      <c r="A32" s="476"/>
      <c r="B32" s="135"/>
      <c r="C32" s="139" t="s">
        <v>286</v>
      </c>
      <c r="D32" s="179">
        <v>3493207</v>
      </c>
    </row>
    <row r="33" spans="1:15" ht="15.75" thickBot="1" x14ac:dyDescent="0.3">
      <c r="A33" s="477"/>
      <c r="B33" s="148" t="s">
        <v>278</v>
      </c>
      <c r="C33" s="149" t="s">
        <v>259</v>
      </c>
      <c r="D33" s="181">
        <v>998800</v>
      </c>
      <c r="E33" s="31"/>
    </row>
    <row r="34" spans="1:15" ht="15.75" thickTop="1" x14ac:dyDescent="0.25">
      <c r="A34" s="480" t="s">
        <v>20</v>
      </c>
      <c r="B34" s="480"/>
      <c r="C34" s="480"/>
      <c r="D34" s="184">
        <f>SUM(D4:D33)</f>
        <v>137275611</v>
      </c>
      <c r="E34" s="31"/>
      <c r="O34" s="31"/>
    </row>
    <row r="35" spans="1:15" ht="21" customHeight="1" x14ac:dyDescent="0.25"/>
    <row r="36" spans="1:15" ht="30" customHeight="1" x14ac:dyDescent="0.25">
      <c r="A36" s="456" t="s">
        <v>572</v>
      </c>
      <c r="B36" s="456"/>
      <c r="C36" s="456"/>
      <c r="D36" s="456"/>
      <c r="E36" s="456"/>
      <c r="F36" s="456"/>
    </row>
    <row r="37" spans="1:15" ht="8.25" customHeight="1" x14ac:dyDescent="0.25"/>
    <row r="38" spans="1:15" ht="75" x14ac:dyDescent="0.25">
      <c r="A38" s="137" t="s">
        <v>284</v>
      </c>
      <c r="B38" s="137" t="s">
        <v>41</v>
      </c>
      <c r="C38" s="137" t="s">
        <v>285</v>
      </c>
      <c r="D38" s="137" t="s">
        <v>10</v>
      </c>
      <c r="E38" s="137" t="s">
        <v>573</v>
      </c>
      <c r="F38" s="137" t="s">
        <v>574</v>
      </c>
    </row>
    <row r="39" spans="1:15" x14ac:dyDescent="0.25">
      <c r="A39" s="2" t="s">
        <v>256</v>
      </c>
      <c r="B39" s="2">
        <v>116</v>
      </c>
      <c r="C39" s="6">
        <v>511350617</v>
      </c>
      <c r="D39" s="8">
        <f>C39/C57</f>
        <v>0.78835945098414983</v>
      </c>
      <c r="E39" s="6">
        <v>212900243</v>
      </c>
      <c r="F39" s="8">
        <f>(C39-E39)/E39</f>
        <v>1.401832002606028</v>
      </c>
    </row>
    <row r="40" spans="1:15" x14ac:dyDescent="0.25">
      <c r="A40" s="2" t="s">
        <v>270</v>
      </c>
      <c r="B40" s="2">
        <v>4</v>
      </c>
      <c r="C40" s="6">
        <v>66241157</v>
      </c>
      <c r="D40" s="8">
        <f>C40/C57</f>
        <v>0.1021253136868218</v>
      </c>
      <c r="E40" s="6">
        <v>404280</v>
      </c>
      <c r="F40" s="8">
        <f>(C40-E40)/E40</f>
        <v>162.84970070248343</v>
      </c>
      <c r="G40" s="31"/>
    </row>
    <row r="41" spans="1:15" x14ac:dyDescent="0.25">
      <c r="A41" s="2" t="s">
        <v>277</v>
      </c>
      <c r="B41" s="2">
        <v>2</v>
      </c>
      <c r="C41" s="6">
        <v>25254430</v>
      </c>
      <c r="D41" s="8">
        <f>C41/C57</f>
        <v>3.8935258720373546E-2</v>
      </c>
      <c r="E41" s="6">
        <v>9762385</v>
      </c>
      <c r="F41" s="8">
        <f>(C41-E41)/E41</f>
        <v>1.5869119072849514</v>
      </c>
    </row>
    <row r="42" spans="1:15" x14ac:dyDescent="0.25">
      <c r="A42" s="2" t="s">
        <v>262</v>
      </c>
      <c r="B42" s="2">
        <v>7</v>
      </c>
      <c r="C42" s="6">
        <v>15047796</v>
      </c>
      <c r="D42" s="8">
        <f>C42/C57</f>
        <v>2.3199487394148361E-2</v>
      </c>
      <c r="E42" s="6">
        <v>2419020</v>
      </c>
      <c r="F42" s="8">
        <f>(C42-E42)/E42</f>
        <v>5.2206166133392857</v>
      </c>
    </row>
    <row r="43" spans="1:15" x14ac:dyDescent="0.25">
      <c r="A43" s="2" t="s">
        <v>259</v>
      </c>
      <c r="B43" s="2">
        <v>4</v>
      </c>
      <c r="C43" s="6">
        <v>8308831</v>
      </c>
      <c r="D43" s="8">
        <f>C43/C57</f>
        <v>1.2809890567669119E-2</v>
      </c>
      <c r="E43" s="6">
        <v>4448797</v>
      </c>
      <c r="F43" s="8">
        <f>(C43-E43)/E43</f>
        <v>0.86765793089682441</v>
      </c>
    </row>
    <row r="44" spans="1:15" x14ac:dyDescent="0.25">
      <c r="A44" s="2" t="s">
        <v>265</v>
      </c>
      <c r="B44" s="2">
        <v>1</v>
      </c>
      <c r="C44" s="6">
        <v>7961430</v>
      </c>
      <c r="D44" s="8">
        <f>C44/C57</f>
        <v>1.2274295513070126E-2</v>
      </c>
      <c r="E44" s="6">
        <v>105381000</v>
      </c>
      <c r="F44" s="8">
        <v>1</v>
      </c>
    </row>
    <row r="45" spans="1:15" x14ac:dyDescent="0.25">
      <c r="A45" s="353" t="s">
        <v>286</v>
      </c>
      <c r="B45" s="2">
        <v>2</v>
      </c>
      <c r="C45" s="6">
        <v>7016282</v>
      </c>
      <c r="D45" s="8">
        <f>C45/C57</f>
        <v>1.0817141979648717E-2</v>
      </c>
      <c r="E45" s="6">
        <v>0</v>
      </c>
      <c r="F45" s="8">
        <v>1</v>
      </c>
    </row>
    <row r="46" spans="1:15" x14ac:dyDescent="0.25">
      <c r="A46" s="2" t="s">
        <v>260</v>
      </c>
      <c r="B46" s="2">
        <v>2</v>
      </c>
      <c r="C46" s="6">
        <v>2403680</v>
      </c>
      <c r="D46" s="8">
        <f>C46/C57</f>
        <v>3.7058014249772213E-3</v>
      </c>
      <c r="E46" s="6">
        <v>1000000</v>
      </c>
      <c r="F46" s="8">
        <f>(C46-E46)/E46</f>
        <v>1.40368</v>
      </c>
    </row>
    <row r="47" spans="1:15" x14ac:dyDescent="0.25">
      <c r="A47" s="2" t="s">
        <v>279</v>
      </c>
      <c r="B47" s="2">
        <v>2</v>
      </c>
      <c r="C47" s="6">
        <v>1555959</v>
      </c>
      <c r="D47" s="8">
        <f>C47/C57</f>
        <v>2.3988530417551972E-3</v>
      </c>
      <c r="E47" s="6">
        <v>1129617</v>
      </c>
      <c r="F47" s="8">
        <f>(C47-E47)/E47</f>
        <v>0.37742172789538403</v>
      </c>
    </row>
    <row r="48" spans="1:15" x14ac:dyDescent="0.25">
      <c r="A48" s="2" t="s">
        <v>269</v>
      </c>
      <c r="B48" s="2">
        <v>1</v>
      </c>
      <c r="C48" s="6">
        <v>1093823</v>
      </c>
      <c r="D48" s="8">
        <f>C48/C57</f>
        <v>1.6863687479501677E-3</v>
      </c>
      <c r="E48" s="6">
        <v>564992</v>
      </c>
      <c r="F48" s="8">
        <v>1</v>
      </c>
    </row>
    <row r="49" spans="1:9" x14ac:dyDescent="0.25">
      <c r="A49" s="2" t="s">
        <v>258</v>
      </c>
      <c r="B49" s="2">
        <v>1</v>
      </c>
      <c r="C49" s="6">
        <v>501840</v>
      </c>
      <c r="D49" s="8">
        <f>C49/C57</f>
        <v>7.7369674295686979E-4</v>
      </c>
      <c r="E49" s="6">
        <v>21670579</v>
      </c>
      <c r="F49" s="8">
        <v>1</v>
      </c>
    </row>
    <row r="50" spans="1:9" x14ac:dyDescent="0.25">
      <c r="A50" s="353" t="s">
        <v>287</v>
      </c>
      <c r="B50" s="2">
        <v>1</v>
      </c>
      <c r="C50" s="6">
        <v>974992</v>
      </c>
      <c r="D50" s="8">
        <f>C50/C57</f>
        <v>1.5031646238024157E-3</v>
      </c>
      <c r="E50" s="6">
        <v>0</v>
      </c>
      <c r="F50" s="8">
        <v>1</v>
      </c>
      <c r="H50" s="32"/>
    </row>
    <row r="51" spans="1:9" x14ac:dyDescent="0.25">
      <c r="A51" s="2" t="s">
        <v>267</v>
      </c>
      <c r="B51" s="2">
        <v>1</v>
      </c>
      <c r="C51" s="6">
        <v>342900</v>
      </c>
      <c r="D51" s="8">
        <f>C51/C57</f>
        <v>5.2865577307490558E-4</v>
      </c>
      <c r="E51" s="6">
        <v>2114548</v>
      </c>
      <c r="F51" s="8">
        <f>(C51-E51)/E51</f>
        <v>-0.83783768446022511</v>
      </c>
      <c r="I51" s="31"/>
    </row>
    <row r="52" spans="1:9" x14ac:dyDescent="0.25">
      <c r="A52" s="2" t="s">
        <v>275</v>
      </c>
      <c r="B52" s="2">
        <v>1</v>
      </c>
      <c r="C52" s="6">
        <v>547891</v>
      </c>
      <c r="D52" s="8">
        <f>C52/C57</f>
        <v>8.4469448867245005E-4</v>
      </c>
      <c r="E52" s="6">
        <v>669743</v>
      </c>
      <c r="F52" s="8">
        <f>(C52-E52)/E52</f>
        <v>-0.18193844504533829</v>
      </c>
      <c r="G52" s="31"/>
    </row>
    <row r="53" spans="1:9" x14ac:dyDescent="0.25">
      <c r="A53" s="2" t="s">
        <v>263</v>
      </c>
      <c r="B53" s="2">
        <v>1</v>
      </c>
      <c r="C53" s="6">
        <v>24600</v>
      </c>
      <c r="D53" s="8">
        <f>C53/C57</f>
        <v>3.7926310929258322E-5</v>
      </c>
      <c r="E53" s="6">
        <v>3767750</v>
      </c>
      <c r="F53" s="8">
        <f>(C53-E53)/E53</f>
        <v>-0.99347090438590668</v>
      </c>
      <c r="H53" s="31"/>
    </row>
    <row r="54" spans="1:9" x14ac:dyDescent="0.25">
      <c r="A54" s="2" t="s">
        <v>268</v>
      </c>
      <c r="B54" s="2">
        <v>0</v>
      </c>
      <c r="C54" s="6">
        <v>0</v>
      </c>
      <c r="D54" s="8">
        <f>C54/C57</f>
        <v>0</v>
      </c>
      <c r="E54" s="6">
        <v>600000</v>
      </c>
      <c r="F54" s="8">
        <f>(C54-E54)/E54</f>
        <v>-1</v>
      </c>
      <c r="G54" s="31"/>
      <c r="H54" s="39"/>
      <c r="I54" s="31"/>
    </row>
    <row r="55" spans="1:9" x14ac:dyDescent="0.25">
      <c r="A55" s="2" t="s">
        <v>257</v>
      </c>
      <c r="B55" s="2">
        <v>0</v>
      </c>
      <c r="C55" s="6">
        <v>0</v>
      </c>
      <c r="D55" s="8">
        <f>C55/C57</f>
        <v>0</v>
      </c>
      <c r="E55" s="6">
        <v>187974</v>
      </c>
      <c r="F55" s="8">
        <v>1</v>
      </c>
    </row>
    <row r="56" spans="1:9" x14ac:dyDescent="0.25">
      <c r="A56" s="2" t="s">
        <v>272</v>
      </c>
      <c r="B56" s="2">
        <v>0</v>
      </c>
      <c r="C56" s="6">
        <v>0</v>
      </c>
      <c r="D56" s="8">
        <f>C56/C57</f>
        <v>0</v>
      </c>
      <c r="E56" s="6">
        <v>555000</v>
      </c>
      <c r="F56" s="8">
        <f>(C56-E56)/E56</f>
        <v>-1</v>
      </c>
    </row>
    <row r="57" spans="1:9" x14ac:dyDescent="0.25">
      <c r="A57" s="182" t="s">
        <v>20</v>
      </c>
      <c r="B57" s="183">
        <f>SUM(B39:B56)</f>
        <v>146</v>
      </c>
      <c r="C57" s="184">
        <f>SUM(C39:C56)</f>
        <v>648626228</v>
      </c>
      <c r="D57" s="185">
        <f>SUM(D39:D55)</f>
        <v>0.99999999999999989</v>
      </c>
      <c r="E57" s="184">
        <f>SUM(E39:E55)</f>
        <v>367020928</v>
      </c>
      <c r="F57" s="185">
        <f>(C57-E57)/E57</f>
        <v>0.76727314034800764</v>
      </c>
    </row>
    <row r="58" spans="1:9" x14ac:dyDescent="0.25">
      <c r="H58" s="31"/>
    </row>
    <row r="59" spans="1:9" ht="28.5" customHeight="1" x14ac:dyDescent="0.25">
      <c r="A59" s="478" t="s">
        <v>575</v>
      </c>
      <c r="B59" s="478"/>
      <c r="C59" s="478"/>
      <c r="D59" s="478"/>
      <c r="E59" s="478"/>
      <c r="F59" s="478"/>
      <c r="H59" s="31"/>
    </row>
    <row r="60" spans="1:9" ht="10.5" customHeight="1" x14ac:dyDescent="0.25"/>
    <row r="61" spans="1:9" ht="60" x14ac:dyDescent="0.25">
      <c r="A61" s="146" t="s">
        <v>305</v>
      </c>
      <c r="B61" s="354" t="s">
        <v>41</v>
      </c>
      <c r="C61" s="354" t="s">
        <v>10</v>
      </c>
      <c r="D61" s="145" t="s">
        <v>6</v>
      </c>
      <c r="E61" s="354" t="s">
        <v>10</v>
      </c>
    </row>
    <row r="62" spans="1:9" x14ac:dyDescent="0.25">
      <c r="A62" s="2" t="s">
        <v>306</v>
      </c>
      <c r="B62" s="2">
        <v>116</v>
      </c>
      <c r="C62" s="8">
        <f>B62/B65</f>
        <v>0.79452054794520544</v>
      </c>
      <c r="D62" s="6">
        <v>511350617</v>
      </c>
      <c r="E62" s="8">
        <f>D62/D65</f>
        <v>0.78835945098414983</v>
      </c>
    </row>
    <row r="63" spans="1:9" ht="60" x14ac:dyDescent="0.25">
      <c r="A63" s="12" t="s">
        <v>307</v>
      </c>
      <c r="B63" s="2">
        <v>29</v>
      </c>
      <c r="C63" s="8">
        <f>B63/B65</f>
        <v>0.19863013698630136</v>
      </c>
      <c r="D63" s="6">
        <v>137251011</v>
      </c>
      <c r="E63" s="8">
        <f>D63/D65</f>
        <v>0.21160262270492089</v>
      </c>
      <c r="G63" s="31"/>
    </row>
    <row r="64" spans="1:9" x14ac:dyDescent="0.25">
      <c r="A64" s="2" t="s">
        <v>308</v>
      </c>
      <c r="B64" s="2">
        <v>1</v>
      </c>
      <c r="C64" s="8">
        <f>B64/B65</f>
        <v>6.8493150684931503E-3</v>
      </c>
      <c r="D64" s="6">
        <v>24600</v>
      </c>
      <c r="E64" s="385">
        <f>D64/D65</f>
        <v>3.7926310929258322E-5</v>
      </c>
      <c r="F64" s="188"/>
      <c r="G64" s="31"/>
    </row>
    <row r="65" spans="1:10" x14ac:dyDescent="0.25">
      <c r="A65" s="170" t="s">
        <v>20</v>
      </c>
      <c r="B65" s="167">
        <f>SUM(B62:B64)</f>
        <v>146</v>
      </c>
      <c r="C65" s="169">
        <f>SUM(C62:C64)</f>
        <v>1</v>
      </c>
      <c r="D65" s="168">
        <f>SUM(D62:D64)</f>
        <v>648626228</v>
      </c>
      <c r="E65" s="169">
        <f>SUM(E62:E64)</f>
        <v>1</v>
      </c>
    </row>
    <row r="66" spans="1:10" ht="9" customHeight="1" x14ac:dyDescent="0.25"/>
    <row r="67" spans="1:10" ht="26.25" customHeight="1" x14ac:dyDescent="0.25">
      <c r="A67" s="456" t="s">
        <v>576</v>
      </c>
      <c r="B67" s="456"/>
      <c r="C67" s="456"/>
      <c r="D67" s="456"/>
      <c r="E67" s="456"/>
      <c r="F67" s="456"/>
      <c r="G67" s="456"/>
    </row>
    <row r="68" spans="1:10" ht="6.75" customHeight="1" x14ac:dyDescent="0.25"/>
    <row r="69" spans="1:10" ht="45" x14ac:dyDescent="0.25">
      <c r="A69" s="146" t="s">
        <v>305</v>
      </c>
      <c r="B69" s="147" t="s">
        <v>309</v>
      </c>
      <c r="C69" s="354" t="s">
        <v>10</v>
      </c>
      <c r="D69" s="145" t="s">
        <v>310</v>
      </c>
      <c r="E69" s="354" t="s">
        <v>10</v>
      </c>
      <c r="F69" s="147" t="s">
        <v>577</v>
      </c>
      <c r="G69" s="146" t="s">
        <v>311</v>
      </c>
    </row>
    <row r="70" spans="1:10" x14ac:dyDescent="0.25">
      <c r="A70" s="2" t="s">
        <v>312</v>
      </c>
      <c r="B70" s="6">
        <v>117225945</v>
      </c>
      <c r="C70" s="8">
        <f>B70/B72</f>
        <v>0.9435273966877622</v>
      </c>
      <c r="D70" s="6">
        <v>231664782</v>
      </c>
      <c r="E70" s="8">
        <f>D70/D72</f>
        <v>0.64602164180810939</v>
      </c>
      <c r="F70" s="6">
        <v>162459890</v>
      </c>
      <c r="G70" s="8">
        <f>F70/F72</f>
        <v>0.97996214916256097</v>
      </c>
      <c r="H70" s="31"/>
      <c r="I70" s="31"/>
      <c r="J70" s="31"/>
    </row>
    <row r="71" spans="1:10" x14ac:dyDescent="0.25">
      <c r="A71" s="2" t="s">
        <v>313</v>
      </c>
      <c r="B71" s="6">
        <v>7016282</v>
      </c>
      <c r="C71" s="8">
        <f>B71/B72</f>
        <v>5.6472603312237794E-2</v>
      </c>
      <c r="D71" s="6">
        <v>126937418</v>
      </c>
      <c r="E71" s="8">
        <f>D71/D72</f>
        <v>0.35397835819189061</v>
      </c>
      <c r="F71" s="6">
        <v>3321911</v>
      </c>
      <c r="G71" s="8">
        <f>F71/F72</f>
        <v>2.0037850837439027E-2</v>
      </c>
      <c r="H71" s="171"/>
      <c r="I71" s="172"/>
    </row>
    <row r="72" spans="1:10" x14ac:dyDescent="0.25">
      <c r="A72" s="170" t="s">
        <v>314</v>
      </c>
      <c r="B72" s="168">
        <f t="shared" ref="B72:G72" si="0">SUM(B70:B71)</f>
        <v>124242227</v>
      </c>
      <c r="C72" s="169">
        <f t="shared" si="0"/>
        <v>1</v>
      </c>
      <c r="D72" s="168">
        <f t="shared" si="0"/>
        <v>358602200</v>
      </c>
      <c r="E72" s="169">
        <f t="shared" si="0"/>
        <v>1</v>
      </c>
      <c r="F72" s="168">
        <f t="shared" si="0"/>
        <v>165781801</v>
      </c>
      <c r="G72" s="169">
        <f t="shared" si="0"/>
        <v>1</v>
      </c>
      <c r="H72" s="31"/>
      <c r="I72" s="172"/>
    </row>
    <row r="74" spans="1:10" x14ac:dyDescent="0.25">
      <c r="A74" s="415" t="s">
        <v>578</v>
      </c>
      <c r="F74" s="31"/>
      <c r="G74" s="31"/>
    </row>
    <row r="75" spans="1:10" x14ac:dyDescent="0.25">
      <c r="G75" s="31"/>
    </row>
    <row r="76" spans="1:10" ht="27" customHeight="1" x14ac:dyDescent="0.25">
      <c r="A76" s="463" t="s">
        <v>29</v>
      </c>
      <c r="B76" s="445" t="s">
        <v>315</v>
      </c>
      <c r="C76" s="445"/>
      <c r="D76" s="466" t="s">
        <v>317</v>
      </c>
      <c r="E76" s="467"/>
      <c r="F76" s="467"/>
      <c r="G76" s="468"/>
    </row>
    <row r="77" spans="1:10" x14ac:dyDescent="0.25">
      <c r="A77" s="465"/>
      <c r="B77" s="463" t="s">
        <v>306</v>
      </c>
      <c r="C77" s="463" t="s">
        <v>316</v>
      </c>
      <c r="D77" s="479" t="s">
        <v>306</v>
      </c>
      <c r="E77" s="479"/>
      <c r="F77" s="455" t="s">
        <v>316</v>
      </c>
      <c r="G77" s="451"/>
    </row>
    <row r="78" spans="1:10" x14ac:dyDescent="0.25">
      <c r="A78" s="464"/>
      <c r="B78" s="464"/>
      <c r="C78" s="464"/>
      <c r="D78" s="186" t="s">
        <v>318</v>
      </c>
      <c r="E78" s="173" t="s">
        <v>10</v>
      </c>
      <c r="F78" s="173" t="s">
        <v>318</v>
      </c>
      <c r="G78" s="173" t="s">
        <v>10</v>
      </c>
    </row>
    <row r="79" spans="1:10" ht="45" x14ac:dyDescent="0.25">
      <c r="A79" s="12" t="s">
        <v>397</v>
      </c>
      <c r="B79" s="2">
        <v>5</v>
      </c>
      <c r="C79" s="2">
        <v>0</v>
      </c>
      <c r="D79" s="6">
        <v>7870028</v>
      </c>
      <c r="E79" s="8">
        <f>D79/D87</f>
        <v>1.5390668825574137E-2</v>
      </c>
      <c r="F79" s="6">
        <v>0</v>
      </c>
      <c r="G79" s="8">
        <f>F79/F87</f>
        <v>0</v>
      </c>
      <c r="H79" s="31"/>
    </row>
    <row r="80" spans="1:10" ht="30" x14ac:dyDescent="0.25">
      <c r="A80" s="12" t="s">
        <v>398</v>
      </c>
      <c r="B80" s="71">
        <v>37</v>
      </c>
      <c r="C80" s="71">
        <v>15</v>
      </c>
      <c r="D80" s="179">
        <v>254504518</v>
      </c>
      <c r="E80" s="73">
        <f>D80/D87</f>
        <v>0.49771039583980792</v>
      </c>
      <c r="F80" s="179">
        <v>34790920</v>
      </c>
      <c r="G80" s="8">
        <f>F80/F87</f>
        <v>0.2534384640254852</v>
      </c>
      <c r="H80" s="31"/>
      <c r="I80" s="31"/>
      <c r="J80" s="31"/>
    </row>
    <row r="81" spans="1:10" ht="30" x14ac:dyDescent="0.25">
      <c r="A81" s="12" t="s">
        <v>399</v>
      </c>
      <c r="B81" s="2">
        <v>5</v>
      </c>
      <c r="C81" s="2">
        <v>1</v>
      </c>
      <c r="D81" s="6">
        <v>3973498</v>
      </c>
      <c r="E81" s="8">
        <f>D81/D87</f>
        <v>7.7705939289010378E-3</v>
      </c>
      <c r="F81" s="6">
        <v>484420</v>
      </c>
      <c r="G81" s="8">
        <f>F81/F87</f>
        <v>3.5288132864329412E-3</v>
      </c>
      <c r="H81" s="31"/>
    </row>
    <row r="82" spans="1:10" ht="30" x14ac:dyDescent="0.25">
      <c r="A82" s="12" t="s">
        <v>15</v>
      </c>
      <c r="B82" s="71">
        <v>21</v>
      </c>
      <c r="C82" s="71">
        <v>6</v>
      </c>
      <c r="D82" s="6">
        <v>30518442</v>
      </c>
      <c r="E82" s="8">
        <f>D82/D87</f>
        <v>5.9682028309745838E-2</v>
      </c>
      <c r="F82" s="6">
        <v>4923162</v>
      </c>
      <c r="G82" s="8">
        <f>F82/F87</f>
        <v>3.5863340648325359E-2</v>
      </c>
      <c r="H82" s="31"/>
      <c r="J82" s="32"/>
    </row>
    <row r="83" spans="1:10" ht="30" x14ac:dyDescent="0.25">
      <c r="A83" s="12" t="s">
        <v>16</v>
      </c>
      <c r="B83" s="71">
        <v>25</v>
      </c>
      <c r="C83" s="71">
        <v>4</v>
      </c>
      <c r="D83" s="179">
        <v>194225633</v>
      </c>
      <c r="E83" s="73">
        <f>D83/D87</f>
        <v>0.37982868611655551</v>
      </c>
      <c r="F83" s="179">
        <v>88818347</v>
      </c>
      <c r="G83" s="8">
        <f>F83/F87</f>
        <v>0.64700747899056887</v>
      </c>
      <c r="H83" s="31"/>
    </row>
    <row r="84" spans="1:10" ht="30" x14ac:dyDescent="0.25">
      <c r="A84" s="12" t="s">
        <v>17</v>
      </c>
      <c r="B84" s="2">
        <v>20</v>
      </c>
      <c r="C84" s="2">
        <v>0</v>
      </c>
      <c r="D84" s="6">
        <v>10000000</v>
      </c>
      <c r="E84" s="8">
        <f>D84/D87</f>
        <v>1.9556053454414822E-2</v>
      </c>
      <c r="F84" s="6">
        <v>0</v>
      </c>
      <c r="G84" s="8">
        <f>F84/F87</f>
        <v>0</v>
      </c>
      <c r="H84" s="31"/>
    </row>
    <row r="85" spans="1:10" x14ac:dyDescent="0.25">
      <c r="A85" s="2" t="s">
        <v>18</v>
      </c>
      <c r="B85" s="2">
        <v>1</v>
      </c>
      <c r="C85" s="2">
        <v>3</v>
      </c>
      <c r="D85" s="6">
        <v>3761925</v>
      </c>
      <c r="E85" s="8">
        <f>D85/D87</f>
        <v>7.3568406391499473E-3</v>
      </c>
      <c r="F85" s="6">
        <v>243680</v>
      </c>
      <c r="G85" s="8">
        <f>F85/F87</f>
        <v>1.7751150275339149E-3</v>
      </c>
      <c r="H85" s="31"/>
    </row>
    <row r="86" spans="1:10" x14ac:dyDescent="0.25">
      <c r="A86" s="2" t="s">
        <v>19</v>
      </c>
      <c r="B86" s="2">
        <v>2</v>
      </c>
      <c r="C86" s="2">
        <v>1</v>
      </c>
      <c r="D86" s="6">
        <v>6496573</v>
      </c>
      <c r="E86" s="8">
        <f>D86/D87</f>
        <v>1.2704732885850806E-2</v>
      </c>
      <c r="F86" s="6">
        <v>8015082</v>
      </c>
      <c r="G86" s="8">
        <f>F86/F87</f>
        <v>5.838678802165375E-2</v>
      </c>
      <c r="H86" s="31"/>
    </row>
    <row r="87" spans="1:10" x14ac:dyDescent="0.25">
      <c r="A87" s="187" t="s">
        <v>20</v>
      </c>
      <c r="B87" s="167">
        <f t="shared" ref="B87:G87" si="1">SUM(B79:B86)</f>
        <v>116</v>
      </c>
      <c r="C87" s="167">
        <f t="shared" si="1"/>
        <v>30</v>
      </c>
      <c r="D87" s="168">
        <f t="shared" si="1"/>
        <v>511350617</v>
      </c>
      <c r="E87" s="169">
        <f t="shared" si="1"/>
        <v>1</v>
      </c>
      <c r="F87" s="168">
        <f t="shared" si="1"/>
        <v>137275611</v>
      </c>
      <c r="G87" s="169">
        <f t="shared" si="1"/>
        <v>1</v>
      </c>
      <c r="H87" s="31"/>
      <c r="I87" s="31"/>
    </row>
    <row r="89" spans="1:10" x14ac:dyDescent="0.25">
      <c r="F89" s="31"/>
      <c r="H89" s="31"/>
      <c r="I89" s="31"/>
    </row>
  </sheetData>
  <mergeCells count="16">
    <mergeCell ref="A1:F1"/>
    <mergeCell ref="C77:C78"/>
    <mergeCell ref="B77:B78"/>
    <mergeCell ref="A76:A78"/>
    <mergeCell ref="F77:G77"/>
    <mergeCell ref="D76:G76"/>
    <mergeCell ref="A26:A29"/>
    <mergeCell ref="A20:A25"/>
    <mergeCell ref="A4:A18"/>
    <mergeCell ref="A31:A33"/>
    <mergeCell ref="A59:F59"/>
    <mergeCell ref="A67:G67"/>
    <mergeCell ref="B76:C76"/>
    <mergeCell ref="D77:E77"/>
    <mergeCell ref="A34:C34"/>
    <mergeCell ref="A36:F3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17"/>
  <sheetViews>
    <sheetView topLeftCell="A25" workbookViewId="0">
      <selection activeCell="A100" sqref="A100"/>
    </sheetView>
  </sheetViews>
  <sheetFormatPr defaultRowHeight="15" x14ac:dyDescent="0.25"/>
  <cols>
    <col min="1" max="1" width="7.28515625" customWidth="1"/>
    <col min="2" max="2" width="10.42578125" bestFit="1" customWidth="1"/>
    <col min="3" max="3" width="11.85546875" customWidth="1"/>
    <col min="4" max="4" width="10.42578125" bestFit="1" customWidth="1"/>
    <col min="5" max="7" width="10.5703125" bestFit="1" customWidth="1"/>
    <col min="9" max="9" width="9.85546875" bestFit="1" customWidth="1"/>
  </cols>
  <sheetData>
    <row r="1" spans="1:6" x14ac:dyDescent="0.25">
      <c r="A1" s="415" t="s">
        <v>579</v>
      </c>
    </row>
    <row r="2" spans="1:6" ht="11.25" customHeight="1" x14ac:dyDescent="0.25">
      <c r="A2" s="132"/>
    </row>
    <row r="3" spans="1:6" ht="60" x14ac:dyDescent="0.25">
      <c r="A3" s="147" t="s">
        <v>230</v>
      </c>
      <c r="B3" s="313" t="s">
        <v>453</v>
      </c>
      <c r="C3" s="166" t="s">
        <v>303</v>
      </c>
      <c r="D3" s="314" t="s">
        <v>452</v>
      </c>
      <c r="E3" s="147" t="s">
        <v>303</v>
      </c>
    </row>
    <row r="4" spans="1:6" x14ac:dyDescent="0.25">
      <c r="A4" s="2" t="s">
        <v>200</v>
      </c>
      <c r="B4" s="316" t="s">
        <v>291</v>
      </c>
      <c r="C4" s="105">
        <v>2160000</v>
      </c>
      <c r="D4" s="317" t="s">
        <v>291</v>
      </c>
      <c r="E4" s="390">
        <v>2160000</v>
      </c>
    </row>
    <row r="5" spans="1:6" x14ac:dyDescent="0.25">
      <c r="A5" s="2"/>
      <c r="B5" s="196" t="s">
        <v>295</v>
      </c>
      <c r="C5" s="105">
        <f>E5+E6+E7+E8</f>
        <v>7733939</v>
      </c>
      <c r="D5" s="389" t="s">
        <v>295</v>
      </c>
      <c r="E5" s="386">
        <v>2043400</v>
      </c>
    </row>
    <row r="6" spans="1:6" x14ac:dyDescent="0.25">
      <c r="A6" s="2"/>
      <c r="B6" s="318" t="s">
        <v>278</v>
      </c>
      <c r="C6" s="105">
        <v>94193029</v>
      </c>
      <c r="D6" s="320" t="s">
        <v>266</v>
      </c>
      <c r="E6" s="387">
        <v>3633308</v>
      </c>
      <c r="F6" s="31"/>
    </row>
    <row r="7" spans="1:6" x14ac:dyDescent="0.25">
      <c r="A7" s="2"/>
      <c r="B7" s="330" t="s">
        <v>290</v>
      </c>
      <c r="C7" s="105">
        <v>12593960</v>
      </c>
      <c r="D7" s="320" t="s">
        <v>562</v>
      </c>
      <c r="E7" s="387">
        <v>1555391</v>
      </c>
    </row>
    <row r="8" spans="1:6" x14ac:dyDescent="0.25">
      <c r="A8" s="2"/>
      <c r="B8" s="193" t="s">
        <v>299</v>
      </c>
      <c r="C8" s="374">
        <f>E18+E19</f>
        <v>8445850</v>
      </c>
      <c r="D8" s="389" t="s">
        <v>563</v>
      </c>
      <c r="E8" s="388">
        <v>501840</v>
      </c>
    </row>
    <row r="9" spans="1:6" x14ac:dyDescent="0.25">
      <c r="A9" s="2"/>
      <c r="B9" s="315" t="s">
        <v>330</v>
      </c>
      <c r="C9" s="105">
        <v>1810640</v>
      </c>
      <c r="D9" s="319" t="s">
        <v>278</v>
      </c>
      <c r="E9" s="391">
        <v>998800</v>
      </c>
      <c r="F9" s="31"/>
    </row>
    <row r="10" spans="1:6" x14ac:dyDescent="0.25">
      <c r="A10" s="2" t="s">
        <v>199</v>
      </c>
      <c r="B10" t="s">
        <v>327</v>
      </c>
      <c r="C10" s="105">
        <v>7016282</v>
      </c>
      <c r="D10" s="319" t="s">
        <v>276</v>
      </c>
      <c r="E10" s="391">
        <v>783200</v>
      </c>
    </row>
    <row r="11" spans="1:6" x14ac:dyDescent="0.25">
      <c r="A11" s="2" t="s">
        <v>201</v>
      </c>
      <c r="B11" s="324" t="s">
        <v>292</v>
      </c>
      <c r="C11" s="158">
        <v>547280</v>
      </c>
      <c r="D11" s="319" t="s">
        <v>567</v>
      </c>
      <c r="E11" s="391">
        <v>3944000</v>
      </c>
    </row>
    <row r="12" spans="1:6" x14ac:dyDescent="0.25">
      <c r="A12" s="92"/>
      <c r="B12" s="322" t="s">
        <v>333</v>
      </c>
      <c r="C12" s="158">
        <v>243680</v>
      </c>
      <c r="D12" s="319" t="s">
        <v>569</v>
      </c>
      <c r="E12" s="391">
        <v>21499670</v>
      </c>
    </row>
    <row r="13" spans="1:6" x14ac:dyDescent="0.25">
      <c r="A13" s="92"/>
      <c r="B13" s="326" t="s">
        <v>335</v>
      </c>
      <c r="C13" s="158">
        <v>974992</v>
      </c>
      <c r="D13" s="319" t="s">
        <v>568</v>
      </c>
      <c r="E13" s="391">
        <v>62591477</v>
      </c>
    </row>
    <row r="14" spans="1:6" x14ac:dyDescent="0.25">
      <c r="A14" s="92"/>
      <c r="B14" s="328" t="s">
        <v>555</v>
      </c>
      <c r="C14" s="158">
        <v>1555959</v>
      </c>
      <c r="D14" s="319" t="s">
        <v>274</v>
      </c>
      <c r="E14" s="391">
        <v>547891</v>
      </c>
    </row>
    <row r="15" spans="1:6" x14ac:dyDescent="0.25">
      <c r="A15" s="92"/>
      <c r="B15" s="2"/>
      <c r="C15" s="105"/>
      <c r="D15" s="319" t="s">
        <v>273</v>
      </c>
      <c r="E15" s="391">
        <v>73231</v>
      </c>
    </row>
    <row r="16" spans="1:6" x14ac:dyDescent="0.25">
      <c r="A16" s="92"/>
      <c r="B16" s="2"/>
      <c r="C16" s="158"/>
      <c r="D16" s="319" t="s">
        <v>566</v>
      </c>
      <c r="E16" s="391">
        <v>3754760</v>
      </c>
    </row>
    <row r="17" spans="1:6" x14ac:dyDescent="0.25">
      <c r="A17" s="2"/>
      <c r="B17" s="2"/>
      <c r="C17" s="158"/>
      <c r="D17" s="331" t="s">
        <v>261</v>
      </c>
      <c r="E17" s="392">
        <v>12593960</v>
      </c>
    </row>
    <row r="18" spans="1:6" x14ac:dyDescent="0.25">
      <c r="A18" s="2"/>
      <c r="B18" s="2"/>
      <c r="C18" s="158"/>
      <c r="D18" s="321" t="s">
        <v>264</v>
      </c>
      <c r="E18" s="393">
        <v>7961430</v>
      </c>
      <c r="F18" s="31"/>
    </row>
    <row r="19" spans="1:6" x14ac:dyDescent="0.25">
      <c r="A19" s="2"/>
      <c r="B19" s="2"/>
      <c r="C19" s="158"/>
      <c r="D19" s="395" t="s">
        <v>565</v>
      </c>
      <c r="E19" s="394">
        <v>484420</v>
      </c>
    </row>
    <row r="20" spans="1:6" x14ac:dyDescent="0.25">
      <c r="A20" s="2"/>
      <c r="B20" s="2"/>
      <c r="C20" s="158"/>
      <c r="D20" s="373" t="s">
        <v>561</v>
      </c>
      <c r="E20" s="396">
        <v>1810640</v>
      </c>
    </row>
    <row r="21" spans="1:6" x14ac:dyDescent="0.25">
      <c r="A21" s="2"/>
      <c r="B21" s="2"/>
      <c r="C21" s="158"/>
      <c r="D21" t="s">
        <v>571</v>
      </c>
      <c r="E21" s="157">
        <v>7016282</v>
      </c>
      <c r="F21" s="31"/>
    </row>
    <row r="22" spans="1:6" x14ac:dyDescent="0.25">
      <c r="A22" s="2"/>
      <c r="B22" s="2"/>
      <c r="C22" s="158"/>
      <c r="D22" s="325" t="s">
        <v>271</v>
      </c>
      <c r="E22" s="397">
        <v>547280</v>
      </c>
    </row>
    <row r="23" spans="1:6" x14ac:dyDescent="0.25">
      <c r="A23" s="2"/>
      <c r="B23" s="2"/>
      <c r="C23" s="158"/>
      <c r="D23" s="323" t="s">
        <v>570</v>
      </c>
      <c r="E23" s="398">
        <v>243680</v>
      </c>
    </row>
    <row r="24" spans="1:6" x14ac:dyDescent="0.25">
      <c r="A24" s="2"/>
      <c r="B24" s="2"/>
      <c r="C24" s="158"/>
      <c r="D24" s="327" t="s">
        <v>564</v>
      </c>
      <c r="E24" s="400">
        <v>974992</v>
      </c>
      <c r="F24" s="31"/>
    </row>
    <row r="25" spans="1:6" x14ac:dyDescent="0.25">
      <c r="A25" s="2"/>
      <c r="B25" s="2"/>
      <c r="C25" s="158"/>
      <c r="D25" s="329" t="s">
        <v>555</v>
      </c>
      <c r="E25" s="399">
        <v>1555959</v>
      </c>
    </row>
    <row r="26" spans="1:6" ht="11.25" customHeight="1" x14ac:dyDescent="0.25">
      <c r="A26" s="18"/>
      <c r="B26" s="18"/>
      <c r="C26" s="18"/>
      <c r="D26" s="18"/>
      <c r="E26" s="31"/>
    </row>
    <row r="27" spans="1:6" x14ac:dyDescent="0.25">
      <c r="B27" s="18" t="s">
        <v>291</v>
      </c>
      <c r="C27" t="s">
        <v>293</v>
      </c>
    </row>
    <row r="28" spans="1:6" x14ac:dyDescent="0.25">
      <c r="B28" t="s">
        <v>295</v>
      </c>
      <c r="C28" t="s">
        <v>294</v>
      </c>
    </row>
    <row r="29" spans="1:6" x14ac:dyDescent="0.25">
      <c r="B29" t="s">
        <v>278</v>
      </c>
      <c r="C29" t="s">
        <v>296</v>
      </c>
    </row>
    <row r="30" spans="1:6" x14ac:dyDescent="0.25">
      <c r="B30" t="s">
        <v>290</v>
      </c>
      <c r="C30" t="s">
        <v>297</v>
      </c>
    </row>
    <row r="31" spans="1:6" x14ac:dyDescent="0.25">
      <c r="B31" t="s">
        <v>299</v>
      </c>
      <c r="C31" t="s">
        <v>298</v>
      </c>
    </row>
    <row r="32" spans="1:6" x14ac:dyDescent="0.25">
      <c r="B32" t="s">
        <v>330</v>
      </c>
      <c r="C32" t="s">
        <v>329</v>
      </c>
    </row>
    <row r="33" spans="1:5" x14ac:dyDescent="0.25">
      <c r="B33" t="s">
        <v>327</v>
      </c>
      <c r="C33" t="s">
        <v>590</v>
      </c>
    </row>
    <row r="34" spans="1:5" x14ac:dyDescent="0.25">
      <c r="B34" t="s">
        <v>292</v>
      </c>
      <c r="C34" t="s">
        <v>300</v>
      </c>
    </row>
    <row r="35" spans="1:5" x14ac:dyDescent="0.25">
      <c r="B35" t="s">
        <v>333</v>
      </c>
      <c r="C35" t="s">
        <v>332</v>
      </c>
    </row>
    <row r="36" spans="1:5" x14ac:dyDescent="0.25">
      <c r="B36" t="s">
        <v>335</v>
      </c>
      <c r="C36" t="s">
        <v>334</v>
      </c>
    </row>
    <row r="37" spans="1:5" x14ac:dyDescent="0.25">
      <c r="B37" t="s">
        <v>555</v>
      </c>
      <c r="C37" t="s">
        <v>554</v>
      </c>
    </row>
    <row r="38" spans="1:5" ht="10.5" customHeight="1" x14ac:dyDescent="0.25"/>
    <row r="39" spans="1:5" x14ac:dyDescent="0.25">
      <c r="A39" s="415" t="s">
        <v>581</v>
      </c>
    </row>
    <row r="41" spans="1:5" ht="60" x14ac:dyDescent="0.25">
      <c r="A41" s="146" t="s">
        <v>282</v>
      </c>
      <c r="B41" s="146" t="s">
        <v>281</v>
      </c>
      <c r="C41" s="147" t="s">
        <v>304</v>
      </c>
      <c r="D41" s="371" t="s">
        <v>10</v>
      </c>
    </row>
    <row r="42" spans="1:5" x14ac:dyDescent="0.25">
      <c r="A42" s="378" t="s">
        <v>587</v>
      </c>
      <c r="B42" s="2" t="s">
        <v>571</v>
      </c>
      <c r="C42" s="164">
        <v>7.02</v>
      </c>
      <c r="D42" s="8">
        <f>C42/C68</f>
        <v>5.1140088875937927E-2</v>
      </c>
    </row>
    <row r="43" spans="1:5" x14ac:dyDescent="0.25">
      <c r="A43" s="483" t="s">
        <v>260</v>
      </c>
      <c r="B43" s="2" t="s">
        <v>291</v>
      </c>
      <c r="C43" s="164">
        <v>2.16</v>
      </c>
      <c r="D43" s="8">
        <f>C43/C68</f>
        <v>1.5735411961827057E-2</v>
      </c>
    </row>
    <row r="44" spans="1:5" x14ac:dyDescent="0.25">
      <c r="A44" s="484"/>
      <c r="B44" s="2" t="s">
        <v>570</v>
      </c>
      <c r="C44" s="164">
        <v>0.24</v>
      </c>
      <c r="D44" s="8">
        <f>C44/C68</f>
        <v>1.7483791068696726E-3</v>
      </c>
      <c r="E44" s="381"/>
    </row>
    <row r="45" spans="1:5" x14ac:dyDescent="0.25">
      <c r="A45" s="379" t="s">
        <v>258</v>
      </c>
      <c r="B45" s="2" t="s">
        <v>563</v>
      </c>
      <c r="C45" s="164">
        <v>0.5</v>
      </c>
      <c r="D45" s="8">
        <f>C45/C68</f>
        <v>3.6424564726451518E-3</v>
      </c>
    </row>
    <row r="46" spans="1:5" x14ac:dyDescent="0.25">
      <c r="A46" s="483" t="s">
        <v>262</v>
      </c>
      <c r="B46" s="2" t="s">
        <v>266</v>
      </c>
      <c r="C46" s="164">
        <v>1.1399999999999999</v>
      </c>
      <c r="D46" s="8">
        <f>C46/C68</f>
        <v>8.3048007576309452E-3</v>
      </c>
    </row>
    <row r="47" spans="1:5" x14ac:dyDescent="0.25">
      <c r="A47" s="485"/>
      <c r="B47" s="135" t="s">
        <v>276</v>
      </c>
      <c r="C47" s="165">
        <v>0.78</v>
      </c>
      <c r="D47" s="8">
        <f>C47/C68</f>
        <v>5.6822320973264366E-3</v>
      </c>
    </row>
    <row r="48" spans="1:5" x14ac:dyDescent="0.25">
      <c r="A48" s="485"/>
      <c r="B48" s="135" t="s">
        <v>273</v>
      </c>
      <c r="C48" s="165">
        <v>0.05</v>
      </c>
      <c r="D48" s="383">
        <f>C48/C68</f>
        <v>3.6424564726451517E-4</v>
      </c>
    </row>
    <row r="49" spans="1:5" x14ac:dyDescent="0.25">
      <c r="A49" s="485"/>
      <c r="B49" s="2" t="s">
        <v>261</v>
      </c>
      <c r="C49" s="165">
        <v>12.6</v>
      </c>
      <c r="D49" s="8">
        <f>C49/C68</f>
        <v>9.1789903110657822E-2</v>
      </c>
    </row>
    <row r="50" spans="1:5" x14ac:dyDescent="0.25">
      <c r="A50" s="484"/>
      <c r="B50" s="2" t="s">
        <v>565</v>
      </c>
      <c r="C50" s="165">
        <v>0.48</v>
      </c>
      <c r="D50" s="8">
        <f>C50/C68</f>
        <v>3.4967582137393452E-3</v>
      </c>
      <c r="E50" s="381"/>
    </row>
    <row r="51" spans="1:5" x14ac:dyDescent="0.25">
      <c r="A51" s="378" t="s">
        <v>586</v>
      </c>
      <c r="B51" s="2" t="s">
        <v>264</v>
      </c>
      <c r="C51" s="165">
        <v>7.96</v>
      </c>
      <c r="D51" s="8">
        <f>C51/C68</f>
        <v>5.7987907044510817E-2</v>
      </c>
    </row>
    <row r="52" spans="1:5" x14ac:dyDescent="0.25">
      <c r="A52" s="379" t="s">
        <v>263</v>
      </c>
      <c r="B52" s="135" t="s">
        <v>273</v>
      </c>
      <c r="C52" s="160">
        <v>0.02</v>
      </c>
      <c r="D52" s="383">
        <f>C52/C68</f>
        <v>1.4569825890580607E-4</v>
      </c>
    </row>
    <row r="53" spans="1:5" x14ac:dyDescent="0.25">
      <c r="A53" s="378" t="s">
        <v>585</v>
      </c>
      <c r="B53" s="2" t="s">
        <v>266</v>
      </c>
      <c r="C53" s="160">
        <v>0.34</v>
      </c>
      <c r="D53" s="8">
        <f>C53/C68</f>
        <v>2.4768704013987033E-3</v>
      </c>
    </row>
    <row r="54" spans="1:5" x14ac:dyDescent="0.25">
      <c r="A54" s="378" t="s">
        <v>584</v>
      </c>
      <c r="B54" s="2" t="s">
        <v>266</v>
      </c>
      <c r="C54" s="160">
        <v>1.0900000000000001</v>
      </c>
      <c r="D54" s="8">
        <f>C54/C68</f>
        <v>7.9405551103664315E-3</v>
      </c>
    </row>
    <row r="55" spans="1:5" x14ac:dyDescent="0.25">
      <c r="A55" s="483" t="s">
        <v>259</v>
      </c>
      <c r="B55" s="2" t="s">
        <v>278</v>
      </c>
      <c r="C55" s="160">
        <v>1</v>
      </c>
      <c r="D55" s="8">
        <f>C55/C68</f>
        <v>7.2849129452903037E-3</v>
      </c>
    </row>
    <row r="56" spans="1:5" x14ac:dyDescent="0.25">
      <c r="A56" s="485"/>
      <c r="B56" s="2" t="s">
        <v>567</v>
      </c>
      <c r="C56" s="160">
        <v>3.94</v>
      </c>
      <c r="D56" s="8">
        <f>C56/C68</f>
        <v>2.8702557004443796E-2</v>
      </c>
    </row>
    <row r="57" spans="1:5" x14ac:dyDescent="0.25">
      <c r="A57" s="485"/>
      <c r="B57" s="135" t="s">
        <v>562</v>
      </c>
      <c r="C57" s="160">
        <v>1.56</v>
      </c>
      <c r="D57" s="8">
        <f>C57/C68</f>
        <v>1.1364464194652873E-2</v>
      </c>
    </row>
    <row r="58" spans="1:5" x14ac:dyDescent="0.25">
      <c r="A58" s="484"/>
      <c r="B58" s="135" t="s">
        <v>561</v>
      </c>
      <c r="C58" s="160">
        <v>1.81</v>
      </c>
      <c r="D58" s="8">
        <f>C58/C68</f>
        <v>1.3185692430975449E-2</v>
      </c>
      <c r="E58" s="382"/>
    </row>
    <row r="59" spans="1:5" x14ac:dyDescent="0.25">
      <c r="A59" s="483" t="s">
        <v>270</v>
      </c>
      <c r="B59" s="2" t="s">
        <v>266</v>
      </c>
      <c r="C59" s="160">
        <v>1.06</v>
      </c>
      <c r="D59" s="8">
        <f>C59/C68</f>
        <v>7.7220077220077222E-3</v>
      </c>
    </row>
    <row r="60" spans="1:5" x14ac:dyDescent="0.25">
      <c r="A60" s="485"/>
      <c r="B60" s="2" t="s">
        <v>295</v>
      </c>
      <c r="C60" s="160">
        <v>2.04</v>
      </c>
      <c r="D60" s="8">
        <f>C60/C68</f>
        <v>1.486122240839222E-2</v>
      </c>
    </row>
    <row r="61" spans="1:5" x14ac:dyDescent="0.25">
      <c r="A61" s="485"/>
      <c r="B61" s="2" t="s">
        <v>568</v>
      </c>
      <c r="C61" s="160">
        <v>62.6</v>
      </c>
      <c r="D61" s="8">
        <f>C61/C68</f>
        <v>0.45603555037517302</v>
      </c>
    </row>
    <row r="62" spans="1:5" x14ac:dyDescent="0.25">
      <c r="A62" s="484"/>
      <c r="B62" s="2" t="s">
        <v>271</v>
      </c>
      <c r="C62" s="160">
        <v>0.55000000000000004</v>
      </c>
      <c r="D62" s="8">
        <f>C62/C68</f>
        <v>4.0067021199096673E-3</v>
      </c>
    </row>
    <row r="63" spans="1:5" x14ac:dyDescent="0.25">
      <c r="A63" s="378" t="s">
        <v>583</v>
      </c>
      <c r="B63" s="135" t="s">
        <v>564</v>
      </c>
      <c r="C63" s="160">
        <v>0.97</v>
      </c>
      <c r="D63" s="8">
        <f>C63/C68</f>
        <v>7.0663655569315935E-3</v>
      </c>
    </row>
    <row r="64" spans="1:5" x14ac:dyDescent="0.25">
      <c r="A64" s="378" t="s">
        <v>582</v>
      </c>
      <c r="B64" s="2" t="s">
        <v>274</v>
      </c>
      <c r="C64" s="160">
        <v>0.55000000000000004</v>
      </c>
      <c r="D64" s="8">
        <f>C64/C68</f>
        <v>4.0067021199096673E-3</v>
      </c>
    </row>
    <row r="65" spans="1:9" x14ac:dyDescent="0.25">
      <c r="A65" s="483" t="s">
        <v>277</v>
      </c>
      <c r="B65" s="135" t="s">
        <v>580</v>
      </c>
      <c r="C65" s="160">
        <v>21.5</v>
      </c>
      <c r="D65" s="8">
        <f>C65/C68</f>
        <v>0.15662562832374152</v>
      </c>
      <c r="I65" s="159"/>
    </row>
    <row r="66" spans="1:9" x14ac:dyDescent="0.25">
      <c r="A66" s="484"/>
      <c r="B66" s="59" t="s">
        <v>566</v>
      </c>
      <c r="C66" s="375">
        <v>3.75</v>
      </c>
      <c r="D66" s="376">
        <f>C66/C68</f>
        <v>2.7318423544838637E-2</v>
      </c>
      <c r="I66" s="159"/>
    </row>
    <row r="67" spans="1:9" ht="15.75" thickBot="1" x14ac:dyDescent="0.3">
      <c r="A67" s="380" t="s">
        <v>279</v>
      </c>
      <c r="B67" s="144" t="s">
        <v>555</v>
      </c>
      <c r="C67" s="161">
        <v>1.56</v>
      </c>
      <c r="D67" s="22">
        <f>C67/C68</f>
        <v>1.1364464194652873E-2</v>
      </c>
    </row>
    <row r="68" spans="1:9" x14ac:dyDescent="0.25">
      <c r="A68" s="481" t="s">
        <v>20</v>
      </c>
      <c r="B68" s="482"/>
      <c r="C68" s="162">
        <f>SUM(C42:C67)</f>
        <v>137.27000000000001</v>
      </c>
      <c r="D68" s="163">
        <f>SUM(D42:D67)</f>
        <v>1.0000000000000002</v>
      </c>
      <c r="F68" s="18"/>
    </row>
    <row r="69" spans="1:9" x14ac:dyDescent="0.25">
      <c r="C69" s="377"/>
    </row>
    <row r="82" spans="1:5" x14ac:dyDescent="0.25">
      <c r="A82" s="415" t="s">
        <v>588</v>
      </c>
    </row>
    <row r="84" spans="1:5" ht="75" x14ac:dyDescent="0.25">
      <c r="A84" s="173" t="s">
        <v>38</v>
      </c>
      <c r="B84" s="174" t="s">
        <v>319</v>
      </c>
      <c r="C84" s="174" t="s">
        <v>320</v>
      </c>
      <c r="D84" s="174" t="s">
        <v>321</v>
      </c>
      <c r="E84" s="174" t="s">
        <v>322</v>
      </c>
    </row>
    <row r="85" spans="1:5" x14ac:dyDescent="0.25">
      <c r="A85" s="189" t="s">
        <v>23</v>
      </c>
      <c r="B85" s="190">
        <v>0.39400000000000002</v>
      </c>
      <c r="C85" s="190">
        <v>0.60599999999999998</v>
      </c>
      <c r="D85" s="190">
        <v>0.76100000000000001</v>
      </c>
      <c r="E85" s="190">
        <v>0.23899999999999999</v>
      </c>
    </row>
    <row r="86" spans="1:5" x14ac:dyDescent="0.25">
      <c r="A86" s="2" t="s">
        <v>24</v>
      </c>
      <c r="B86" s="8">
        <v>0.81599999999999995</v>
      </c>
      <c r="C86" s="8">
        <v>0.184</v>
      </c>
      <c r="D86" s="8">
        <v>0.873</v>
      </c>
      <c r="E86" s="8">
        <v>0.127</v>
      </c>
    </row>
    <row r="87" spans="1:5" x14ac:dyDescent="0.25">
      <c r="A87" s="2" t="s">
        <v>25</v>
      </c>
      <c r="B87" s="8">
        <v>0.52600000000000002</v>
      </c>
      <c r="C87" s="8">
        <v>0.47399999999999998</v>
      </c>
      <c r="D87" s="8">
        <v>0.81799999999999995</v>
      </c>
      <c r="E87" s="8">
        <v>0.182</v>
      </c>
    </row>
    <row r="88" spans="1:5" x14ac:dyDescent="0.25">
      <c r="A88" s="2" t="s">
        <v>26</v>
      </c>
      <c r="B88" s="8">
        <v>0.629</v>
      </c>
      <c r="C88" s="8">
        <v>0.371</v>
      </c>
      <c r="D88" s="8">
        <v>0.90800000000000003</v>
      </c>
      <c r="E88" s="8">
        <v>9.1999999999999998E-2</v>
      </c>
    </row>
    <row r="89" spans="1:5" x14ac:dyDescent="0.25">
      <c r="A89" s="2" t="s">
        <v>27</v>
      </c>
      <c r="B89" s="8">
        <v>0.78</v>
      </c>
      <c r="C89" s="8">
        <v>0.22</v>
      </c>
      <c r="D89" s="8">
        <v>0.79600000000000004</v>
      </c>
      <c r="E89" s="8">
        <v>0.20399999999999999</v>
      </c>
    </row>
    <row r="90" spans="1:5" x14ac:dyDescent="0.25">
      <c r="A90" s="2" t="s">
        <v>28</v>
      </c>
      <c r="B90" s="8">
        <v>0.57899999999999996</v>
      </c>
      <c r="C90" s="8">
        <v>0.42099999999999999</v>
      </c>
      <c r="D90" s="8">
        <v>0.84599999999999997</v>
      </c>
      <c r="E90" s="8">
        <v>0.154</v>
      </c>
    </row>
    <row r="91" spans="1:5" x14ac:dyDescent="0.25">
      <c r="A91" s="336" t="s">
        <v>496</v>
      </c>
      <c r="B91" s="384">
        <v>0.78799999999999992</v>
      </c>
      <c r="C91" s="384">
        <v>0.21199999999999999</v>
      </c>
      <c r="D91" s="384">
        <v>0.79500000000000004</v>
      </c>
      <c r="E91" s="384">
        <v>0.20600000000000002</v>
      </c>
    </row>
    <row r="100" spans="1:5" x14ac:dyDescent="0.25">
      <c r="A100" s="416" t="s">
        <v>589</v>
      </c>
    </row>
    <row r="102" spans="1:5" ht="75" x14ac:dyDescent="0.25">
      <c r="A102" s="256"/>
      <c r="B102" s="257" t="s">
        <v>41</v>
      </c>
      <c r="C102" s="257" t="s">
        <v>372</v>
      </c>
      <c r="D102" s="257" t="s">
        <v>385</v>
      </c>
      <c r="E102" s="257" t="s">
        <v>386</v>
      </c>
    </row>
    <row r="103" spans="1:5" x14ac:dyDescent="0.25">
      <c r="A103" s="2" t="s">
        <v>256</v>
      </c>
      <c r="B103" s="2">
        <v>116</v>
      </c>
      <c r="C103" s="8">
        <v>0.79500000000000004</v>
      </c>
      <c r="D103" s="2">
        <v>511.3</v>
      </c>
      <c r="E103" s="8">
        <v>0.78800000000000003</v>
      </c>
    </row>
    <row r="104" spans="1:5" ht="90" x14ac:dyDescent="0.25">
      <c r="A104" s="12" t="s">
        <v>307</v>
      </c>
      <c r="B104" s="2">
        <v>29</v>
      </c>
      <c r="C104" s="8">
        <v>0.19900000000000001</v>
      </c>
      <c r="D104" s="2">
        <v>137.30000000000001</v>
      </c>
      <c r="E104" s="8">
        <v>0.21199999999999999</v>
      </c>
    </row>
    <row r="105" spans="1:5" ht="30" x14ac:dyDescent="0.25">
      <c r="A105" s="266" t="s">
        <v>308</v>
      </c>
      <c r="B105" s="2">
        <v>1</v>
      </c>
      <c r="C105" s="8">
        <v>7.0000000000000001E-3</v>
      </c>
      <c r="D105" s="2">
        <v>0.02</v>
      </c>
      <c r="E105" s="385">
        <v>4.0000000000000003E-5</v>
      </c>
    </row>
    <row r="106" spans="1:5" x14ac:dyDescent="0.25">
      <c r="A106" s="18"/>
      <c r="B106" s="18"/>
    </row>
    <row r="107" spans="1:5" x14ac:dyDescent="0.25">
      <c r="A107" s="18"/>
      <c r="B107" s="18"/>
    </row>
    <row r="108" spans="1:5" x14ac:dyDescent="0.25">
      <c r="A108" s="18"/>
      <c r="B108" s="18"/>
    </row>
    <row r="109" spans="1:5" x14ac:dyDescent="0.25">
      <c r="A109" s="18"/>
      <c r="B109" s="18"/>
    </row>
    <row r="110" spans="1:5" x14ac:dyDescent="0.25">
      <c r="A110" s="18"/>
      <c r="B110" s="18"/>
    </row>
    <row r="111" spans="1:5" x14ac:dyDescent="0.25">
      <c r="A111" s="18"/>
      <c r="B111" s="18"/>
    </row>
    <row r="112" spans="1:5" x14ac:dyDescent="0.25">
      <c r="A112" s="18"/>
      <c r="B112" s="18"/>
    </row>
    <row r="113" spans="1:2" x14ac:dyDescent="0.25">
      <c r="A113" s="18"/>
      <c r="B113" s="18"/>
    </row>
    <row r="114" spans="1:2" x14ac:dyDescent="0.25">
      <c r="A114" s="18"/>
      <c r="B114" s="18"/>
    </row>
    <row r="115" spans="1:2" x14ac:dyDescent="0.25">
      <c r="A115" s="18"/>
      <c r="B115" s="18"/>
    </row>
    <row r="116" spans="1:2" x14ac:dyDescent="0.25">
      <c r="A116" s="18"/>
      <c r="B116" s="18"/>
    </row>
    <row r="117" spans="1:2" x14ac:dyDescent="0.25">
      <c r="A117" s="18"/>
      <c r="B117" s="18"/>
    </row>
  </sheetData>
  <mergeCells count="6">
    <mergeCell ref="A68:B68"/>
    <mergeCell ref="A43:A44"/>
    <mergeCell ref="A46:A50"/>
    <mergeCell ref="A59:A62"/>
    <mergeCell ref="A65:A66"/>
    <mergeCell ref="A55:A58"/>
  </mergeCells>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3"/>
  <sheetViews>
    <sheetView tabSelected="1" workbookViewId="0">
      <selection activeCell="A22" sqref="A22:K22"/>
    </sheetView>
  </sheetViews>
  <sheetFormatPr defaultRowHeight="15" x14ac:dyDescent="0.25"/>
  <cols>
    <col min="1" max="1" width="18.28515625" customWidth="1"/>
    <col min="2" max="2" width="12.140625" bestFit="1" customWidth="1"/>
    <col min="3" max="4" width="10.85546875" bestFit="1" customWidth="1"/>
    <col min="6" max="6" width="10.85546875" bestFit="1" customWidth="1"/>
    <col min="8" max="8" width="10.85546875" bestFit="1" customWidth="1"/>
  </cols>
  <sheetData>
    <row r="1" spans="1:7" x14ac:dyDescent="0.25">
      <c r="A1" s="415" t="s">
        <v>591</v>
      </c>
    </row>
    <row r="2" spans="1:7" ht="12" customHeight="1" x14ac:dyDescent="0.25"/>
    <row r="3" spans="1:7" ht="69" customHeight="1" x14ac:dyDescent="0.25">
      <c r="A3" s="215" t="s">
        <v>230</v>
      </c>
      <c r="B3" s="215" t="s">
        <v>324</v>
      </c>
      <c r="C3" s="215" t="s">
        <v>158</v>
      </c>
      <c r="D3" s="215" t="s">
        <v>10</v>
      </c>
      <c r="E3" s="215" t="s">
        <v>340</v>
      </c>
    </row>
    <row r="4" spans="1:7" x14ac:dyDescent="0.25">
      <c r="A4" s="2" t="s">
        <v>199</v>
      </c>
      <c r="B4" s="6">
        <v>5651</v>
      </c>
      <c r="C4" s="6">
        <v>156849661</v>
      </c>
      <c r="D4" s="8">
        <f>C4/C7</f>
        <v>0.20648794014024768</v>
      </c>
      <c r="E4" s="6">
        <f>C4/B4</f>
        <v>27756.089364714211</v>
      </c>
    </row>
    <row r="5" spans="1:7" x14ac:dyDescent="0.25">
      <c r="A5" s="2" t="s">
        <v>339</v>
      </c>
      <c r="B5" s="6">
        <v>67509</v>
      </c>
      <c r="C5" s="6">
        <v>176268612</v>
      </c>
      <c r="D5" s="8">
        <f>C5/C7</f>
        <v>0.23205241484876746</v>
      </c>
      <c r="E5" s="6">
        <f>C5/B5</f>
        <v>2611.0387059503178</v>
      </c>
    </row>
    <row r="6" spans="1:7" x14ac:dyDescent="0.25">
      <c r="A6" s="2" t="s">
        <v>201</v>
      </c>
      <c r="B6" s="6">
        <v>63997</v>
      </c>
      <c r="C6" s="6">
        <v>426488612</v>
      </c>
      <c r="D6" s="8">
        <f>C6/C7</f>
        <v>0.56145964501098489</v>
      </c>
      <c r="E6" s="6">
        <f>C6/B6</f>
        <v>6664.1969467318777</v>
      </c>
    </row>
    <row r="7" spans="1:7" x14ac:dyDescent="0.25">
      <c r="A7" s="216" t="s">
        <v>20</v>
      </c>
      <c r="B7" s="217">
        <f>SUM(B4:B6)</f>
        <v>137157</v>
      </c>
      <c r="C7" s="217">
        <f>SUM(C4:C6)</f>
        <v>759606885</v>
      </c>
      <c r="D7" s="218">
        <f>SUM(D4:D6)</f>
        <v>1</v>
      </c>
      <c r="E7" s="217">
        <f>C7/B7</f>
        <v>5538.2290732518213</v>
      </c>
    </row>
    <row r="8" spans="1:7" ht="10.5" customHeight="1" x14ac:dyDescent="0.25"/>
    <row r="9" spans="1:7" x14ac:dyDescent="0.25">
      <c r="A9" s="415" t="s">
        <v>592</v>
      </c>
    </row>
    <row r="10" spans="1:7" ht="12.75" customHeight="1" x14ac:dyDescent="0.25"/>
    <row r="11" spans="1:7" ht="42.75" customHeight="1" x14ac:dyDescent="0.25">
      <c r="A11" s="219" t="s">
        <v>29</v>
      </c>
      <c r="B11" s="215" t="s">
        <v>341</v>
      </c>
      <c r="C11" s="215" t="s">
        <v>10</v>
      </c>
      <c r="D11" s="215" t="s">
        <v>342</v>
      </c>
      <c r="E11" s="215" t="s">
        <v>10</v>
      </c>
      <c r="F11" s="215" t="s">
        <v>343</v>
      </c>
      <c r="G11" s="215" t="s">
        <v>10</v>
      </c>
    </row>
    <row r="12" spans="1:7" x14ac:dyDescent="0.25">
      <c r="A12" s="2" t="s">
        <v>12</v>
      </c>
      <c r="B12" s="6">
        <v>26338988</v>
      </c>
      <c r="C12" s="8">
        <f>B12/B20</f>
        <v>0.16792505531777974</v>
      </c>
      <c r="D12" s="6">
        <v>25845441</v>
      </c>
      <c r="E12" s="8">
        <f>D12/D20</f>
        <v>0.14662531636659168</v>
      </c>
      <c r="F12" s="6">
        <v>17488812</v>
      </c>
      <c r="G12" s="8">
        <f>F12/F20</f>
        <v>4.1006515784763789E-2</v>
      </c>
    </row>
    <row r="13" spans="1:7" x14ac:dyDescent="0.25">
      <c r="A13" s="2" t="s">
        <v>13</v>
      </c>
      <c r="B13" s="6">
        <v>72018084</v>
      </c>
      <c r="C13" s="8">
        <f>B13/B20</f>
        <v>0.45915358401699063</v>
      </c>
      <c r="D13" s="6">
        <v>74524578</v>
      </c>
      <c r="E13" s="8">
        <f>D13/D20</f>
        <v>0.42278983849943746</v>
      </c>
      <c r="F13" s="6">
        <v>297913876</v>
      </c>
      <c r="G13" s="8">
        <f>F13/F20</f>
        <v>0.69852715317050484</v>
      </c>
    </row>
    <row r="14" spans="1:7" x14ac:dyDescent="0.25">
      <c r="A14" s="2" t="s">
        <v>14</v>
      </c>
      <c r="B14" s="6">
        <v>23676014</v>
      </c>
      <c r="C14" s="8">
        <f>B14/B20</f>
        <v>0.15094717992409304</v>
      </c>
      <c r="D14" s="6">
        <v>20101441</v>
      </c>
      <c r="E14" s="8">
        <f>D14/D20</f>
        <v>0.11403868659270999</v>
      </c>
      <c r="F14" s="6">
        <v>17406483</v>
      </c>
      <c r="G14" s="8">
        <f>F14/F20</f>
        <v>4.0813476632759423E-2</v>
      </c>
    </row>
    <row r="15" spans="1:7" ht="30" x14ac:dyDescent="0.25">
      <c r="A15" s="12" t="s">
        <v>15</v>
      </c>
      <c r="B15" s="6">
        <v>2012465</v>
      </c>
      <c r="C15" s="8">
        <f>B15/B20</f>
        <v>1.2830534584324029E-2</v>
      </c>
      <c r="D15" s="6">
        <v>22452188</v>
      </c>
      <c r="E15" s="8">
        <f>D15/D20</f>
        <v>0.12737484992506778</v>
      </c>
      <c r="F15" s="6">
        <v>57525219</v>
      </c>
      <c r="G15" s="8">
        <f>F15/F20</f>
        <v>0.1348810199884071</v>
      </c>
    </row>
    <row r="16" spans="1:7" ht="30" x14ac:dyDescent="0.25">
      <c r="A16" s="12" t="s">
        <v>16</v>
      </c>
      <c r="B16" s="6">
        <v>16806310</v>
      </c>
      <c r="C16" s="8">
        <f>B16/B20</f>
        <v>0.10714916368228555</v>
      </c>
      <c r="D16" s="6">
        <v>27769044</v>
      </c>
      <c r="E16" s="8">
        <f>D16/D20</f>
        <v>0.15753822353806246</v>
      </c>
      <c r="F16" s="6">
        <v>18464598</v>
      </c>
      <c r="G16" s="8">
        <f>F16/F20</f>
        <v>4.32944690208985E-2</v>
      </c>
    </row>
    <row r="17" spans="1:11" x14ac:dyDescent="0.25">
      <c r="A17" s="2" t="s">
        <v>17</v>
      </c>
      <c r="B17" s="6">
        <v>108</v>
      </c>
      <c r="C17" s="8">
        <f>B17/B20</f>
        <v>6.885574333501428E-7</v>
      </c>
      <c r="D17" s="6">
        <v>1331319</v>
      </c>
      <c r="E17" s="8">
        <f>D17/D20</f>
        <v>7.5527854045846802E-3</v>
      </c>
      <c r="F17" s="6">
        <v>3443165</v>
      </c>
      <c r="G17" s="8">
        <f>F17/F20</f>
        <v>8.0732870775925905E-3</v>
      </c>
    </row>
    <row r="18" spans="1:11" x14ac:dyDescent="0.25">
      <c r="A18" s="2" t="s">
        <v>18</v>
      </c>
      <c r="B18" s="6">
        <v>10790194</v>
      </c>
      <c r="C18" s="8">
        <f>B18/B20</f>
        <v>6.8793224870278807E-2</v>
      </c>
      <c r="D18" s="6">
        <v>2554415</v>
      </c>
      <c r="E18" s="8">
        <f>D18/D20</f>
        <v>1.4491604438344361E-2</v>
      </c>
      <c r="F18" s="6">
        <v>11232145</v>
      </c>
      <c r="G18" s="8">
        <f>F18/F20</f>
        <v>2.6336330405933559E-2</v>
      </c>
    </row>
    <row r="19" spans="1:11" x14ac:dyDescent="0.25">
      <c r="A19" s="2" t="s">
        <v>19</v>
      </c>
      <c r="B19" s="6">
        <v>5207498</v>
      </c>
      <c r="C19" s="8">
        <f>B19/B20</f>
        <v>3.3200569046814836E-2</v>
      </c>
      <c r="D19" s="6">
        <v>1690186</v>
      </c>
      <c r="E19" s="8">
        <f>D19/D20</f>
        <v>9.5886952352016025E-3</v>
      </c>
      <c r="F19" s="6">
        <v>3014314</v>
      </c>
      <c r="G19" s="8">
        <f>F19/F20</f>
        <v>7.067747919140218E-3</v>
      </c>
    </row>
    <row r="20" spans="1:11" x14ac:dyDescent="0.25">
      <c r="A20" s="216" t="s">
        <v>314</v>
      </c>
      <c r="B20" s="217">
        <f t="shared" ref="B20:G20" si="0">SUM(B12:B19)</f>
        <v>156849661</v>
      </c>
      <c r="C20" s="218">
        <f t="shared" si="0"/>
        <v>1</v>
      </c>
      <c r="D20" s="217">
        <f t="shared" si="0"/>
        <v>176268612</v>
      </c>
      <c r="E20" s="218">
        <f t="shared" si="0"/>
        <v>1</v>
      </c>
      <c r="F20" s="217">
        <f t="shared" si="0"/>
        <v>426488612</v>
      </c>
      <c r="G20" s="218">
        <f t="shared" si="0"/>
        <v>1</v>
      </c>
    </row>
    <row r="22" spans="1:11" ht="30" customHeight="1" x14ac:dyDescent="0.25">
      <c r="A22" s="458" t="s">
        <v>593</v>
      </c>
      <c r="B22" s="458"/>
      <c r="C22" s="458"/>
      <c r="D22" s="458"/>
      <c r="E22" s="458"/>
      <c r="F22" s="458"/>
      <c r="G22" s="458"/>
      <c r="H22" s="458"/>
      <c r="I22" s="458"/>
      <c r="J22" s="458"/>
      <c r="K22" s="458"/>
    </row>
    <row r="23" spans="1:11" ht="9.75" customHeight="1" x14ac:dyDescent="0.25"/>
    <row r="24" spans="1:11" ht="41.25" customHeight="1" x14ac:dyDescent="0.25">
      <c r="A24" s="219" t="s">
        <v>29</v>
      </c>
      <c r="B24" s="215" t="s">
        <v>341</v>
      </c>
      <c r="C24" s="215" t="s">
        <v>10</v>
      </c>
      <c r="D24" s="215" t="s">
        <v>342</v>
      </c>
      <c r="E24" s="215" t="s">
        <v>10</v>
      </c>
      <c r="F24" s="215" t="s">
        <v>343</v>
      </c>
      <c r="G24" s="215" t="s">
        <v>10</v>
      </c>
      <c r="H24" s="215" t="s">
        <v>344</v>
      </c>
    </row>
    <row r="25" spans="1:11" x14ac:dyDescent="0.25">
      <c r="A25" s="2" t="s">
        <v>12</v>
      </c>
      <c r="B25" s="6">
        <v>26338988</v>
      </c>
      <c r="C25" s="8">
        <f t="shared" ref="C25:C33" si="1">B25/H25</f>
        <v>0.37803592343292886</v>
      </c>
      <c r="D25" s="6">
        <v>25845441</v>
      </c>
      <c r="E25" s="8">
        <f t="shared" ref="E25:E33" si="2">D25/H25</f>
        <v>0.37095218521555501</v>
      </c>
      <c r="F25" s="6">
        <v>17488812</v>
      </c>
      <c r="G25" s="8">
        <f t="shared" ref="G25:G33" si="3">F25/H25</f>
        <v>0.25101189135151614</v>
      </c>
      <c r="H25" s="6">
        <f t="shared" ref="H25:H33" si="4">B25+D25+F25</f>
        <v>69673241</v>
      </c>
    </row>
    <row r="26" spans="1:11" x14ac:dyDescent="0.25">
      <c r="A26" s="2" t="s">
        <v>13</v>
      </c>
      <c r="B26" s="6">
        <v>72018084</v>
      </c>
      <c r="C26" s="8">
        <f t="shared" si="1"/>
        <v>0.16203627991180547</v>
      </c>
      <c r="D26" s="6">
        <v>74524578</v>
      </c>
      <c r="E26" s="8">
        <f t="shared" si="2"/>
        <v>0.16767573795933224</v>
      </c>
      <c r="F26" s="6">
        <v>297913876</v>
      </c>
      <c r="G26" s="8">
        <f t="shared" si="3"/>
        <v>0.67028798212886231</v>
      </c>
      <c r="H26" s="6">
        <f t="shared" si="4"/>
        <v>444456538</v>
      </c>
    </row>
    <row r="27" spans="1:11" x14ac:dyDescent="0.25">
      <c r="A27" s="2" t="s">
        <v>14</v>
      </c>
      <c r="B27" s="6">
        <v>23676014</v>
      </c>
      <c r="C27" s="8">
        <f t="shared" si="1"/>
        <v>0.38696453307729228</v>
      </c>
      <c r="D27" s="6">
        <v>20101441</v>
      </c>
      <c r="E27" s="8">
        <f t="shared" si="2"/>
        <v>0.32854114424606012</v>
      </c>
      <c r="F27" s="6">
        <v>17406483</v>
      </c>
      <c r="G27" s="8">
        <f t="shared" si="3"/>
        <v>0.28449432267664759</v>
      </c>
      <c r="H27" s="6">
        <f t="shared" si="4"/>
        <v>61183938</v>
      </c>
    </row>
    <row r="28" spans="1:11" ht="30" x14ac:dyDescent="0.25">
      <c r="A28" s="12" t="s">
        <v>15</v>
      </c>
      <c r="B28" s="6">
        <v>2012465</v>
      </c>
      <c r="C28" s="8">
        <f t="shared" si="1"/>
        <v>2.4545287739929634E-2</v>
      </c>
      <c r="D28" s="6">
        <v>22452188</v>
      </c>
      <c r="E28" s="8">
        <f t="shared" si="2"/>
        <v>0.27384099343392071</v>
      </c>
      <c r="F28" s="179">
        <v>57525219</v>
      </c>
      <c r="G28" s="8">
        <f t="shared" si="3"/>
        <v>0.70161371882614965</v>
      </c>
      <c r="H28" s="6">
        <f t="shared" si="4"/>
        <v>81989872</v>
      </c>
    </row>
    <row r="29" spans="1:11" ht="30" x14ac:dyDescent="0.25">
      <c r="A29" s="12" t="s">
        <v>16</v>
      </c>
      <c r="B29" s="6">
        <v>16806310</v>
      </c>
      <c r="C29" s="8">
        <f t="shared" si="1"/>
        <v>0.26659776009981734</v>
      </c>
      <c r="D29" s="6">
        <v>27769044</v>
      </c>
      <c r="E29" s="8">
        <f t="shared" si="2"/>
        <v>0.44049912982167244</v>
      </c>
      <c r="F29" s="6">
        <v>18464598</v>
      </c>
      <c r="G29" s="8">
        <f t="shared" si="3"/>
        <v>0.29290311007851022</v>
      </c>
      <c r="H29" s="6">
        <f t="shared" si="4"/>
        <v>63039952</v>
      </c>
    </row>
    <row r="30" spans="1:11" x14ac:dyDescent="0.25">
      <c r="A30" s="2" t="s">
        <v>17</v>
      </c>
      <c r="B30" s="6">
        <v>108</v>
      </c>
      <c r="C30" s="8">
        <f t="shared" si="1"/>
        <v>2.2619733790866318E-5</v>
      </c>
      <c r="D30" s="6">
        <v>1331319</v>
      </c>
      <c r="E30" s="8">
        <f t="shared" si="2"/>
        <v>0.27883408676594773</v>
      </c>
      <c r="F30" s="6">
        <v>3443165</v>
      </c>
      <c r="G30" s="8">
        <f t="shared" si="3"/>
        <v>0.72114329350026141</v>
      </c>
      <c r="H30" s="6">
        <f t="shared" si="4"/>
        <v>4774592</v>
      </c>
    </row>
    <row r="31" spans="1:11" x14ac:dyDescent="0.25">
      <c r="A31" s="2" t="s">
        <v>18</v>
      </c>
      <c r="B31" s="6">
        <v>10790194</v>
      </c>
      <c r="C31" s="8">
        <f t="shared" si="1"/>
        <v>0.43904064792282982</v>
      </c>
      <c r="D31" s="6">
        <v>2554415</v>
      </c>
      <c r="E31" s="8">
        <f t="shared" si="2"/>
        <v>0.10393622363636792</v>
      </c>
      <c r="F31" s="6">
        <v>11232145</v>
      </c>
      <c r="G31" s="8">
        <f t="shared" si="3"/>
        <v>0.45702312844080223</v>
      </c>
      <c r="H31" s="6">
        <f t="shared" si="4"/>
        <v>24576754</v>
      </c>
    </row>
    <row r="32" spans="1:11" x14ac:dyDescent="0.25">
      <c r="A32" s="2" t="s">
        <v>19</v>
      </c>
      <c r="B32" s="6">
        <v>5207498</v>
      </c>
      <c r="C32" s="8">
        <f t="shared" si="1"/>
        <v>0.52537318913906161</v>
      </c>
      <c r="D32" s="6">
        <v>1690186</v>
      </c>
      <c r="E32" s="8">
        <f t="shared" si="2"/>
        <v>0.17051920309104179</v>
      </c>
      <c r="F32" s="6">
        <v>3014314</v>
      </c>
      <c r="G32" s="8">
        <f t="shared" si="3"/>
        <v>0.30410760776989665</v>
      </c>
      <c r="H32" s="6">
        <f t="shared" si="4"/>
        <v>9911998</v>
      </c>
    </row>
    <row r="33" spans="1:8" x14ac:dyDescent="0.25">
      <c r="A33" s="216" t="s">
        <v>314</v>
      </c>
      <c r="B33" s="217">
        <f>SUM(B25:B32)</f>
        <v>156849661</v>
      </c>
      <c r="C33" s="218">
        <f t="shared" si="1"/>
        <v>0.20648794014024768</v>
      </c>
      <c r="D33" s="217">
        <f>SUM(D25:D32)</f>
        <v>176268612</v>
      </c>
      <c r="E33" s="218">
        <f t="shared" si="2"/>
        <v>0.23205241484876746</v>
      </c>
      <c r="F33" s="217">
        <f>SUM(F25:F32)</f>
        <v>426488612</v>
      </c>
      <c r="G33" s="218">
        <f t="shared" si="3"/>
        <v>0.56145964501098489</v>
      </c>
      <c r="H33" s="217">
        <f t="shared" si="4"/>
        <v>759606885</v>
      </c>
    </row>
  </sheetData>
  <mergeCells count="1">
    <mergeCell ref="A22:K22"/>
  </mergeCells>
  <conditionalFormatting sqref="B12:B19">
    <cfRule type="top10" dxfId="14" priority="7" percent="1" rank="10"/>
  </conditionalFormatting>
  <conditionalFormatting sqref="D12:D19">
    <cfRule type="top10" dxfId="13" priority="6" percent="1" rank="10"/>
  </conditionalFormatting>
  <conditionalFormatting sqref="F12:F19">
    <cfRule type="top10" dxfId="12" priority="5" percent="1" rank="10"/>
  </conditionalFormatting>
  <conditionalFormatting sqref="G25:G32">
    <cfRule type="top10" dxfId="11" priority="3" percent="1" rank="10"/>
  </conditionalFormatting>
  <conditionalFormatting sqref="E25:E32">
    <cfRule type="top10" dxfId="10" priority="2" percent="1" rank="10"/>
  </conditionalFormatting>
  <conditionalFormatting sqref="C25:C32">
    <cfRule type="top10" dxfId="9" priority="1" percent="1" rank="10"/>
  </conditionalFormatting>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106"/>
  <sheetViews>
    <sheetView topLeftCell="A85" workbookViewId="0">
      <selection activeCell="A96" sqref="A96"/>
    </sheetView>
  </sheetViews>
  <sheetFormatPr defaultRowHeight="15" x14ac:dyDescent="0.25"/>
  <cols>
    <col min="1" max="1" width="15.7109375" customWidth="1"/>
    <col min="2" max="2" width="10.85546875" bestFit="1" customWidth="1"/>
    <col min="3" max="3" width="8" customWidth="1"/>
    <col min="4" max="4" width="7.28515625" customWidth="1"/>
    <col min="5" max="5" width="6.42578125" customWidth="1"/>
    <col min="6" max="6" width="7" customWidth="1"/>
    <col min="7" max="7" width="8" customWidth="1"/>
  </cols>
  <sheetData>
    <row r="1" spans="1:3" x14ac:dyDescent="0.25">
      <c r="A1" s="415" t="s">
        <v>594</v>
      </c>
    </row>
    <row r="3" spans="1:3" ht="60" x14ac:dyDescent="0.25">
      <c r="A3" s="219" t="s">
        <v>29</v>
      </c>
      <c r="B3" s="215" t="s">
        <v>44</v>
      </c>
      <c r="C3" s="215" t="s">
        <v>10</v>
      </c>
    </row>
    <row r="4" spans="1:3" ht="30" x14ac:dyDescent="0.25">
      <c r="A4" s="12" t="s">
        <v>12</v>
      </c>
      <c r="B4" s="6">
        <v>69673241</v>
      </c>
      <c r="C4" s="8">
        <f>B4/B12</f>
        <v>9.1722761306988421E-2</v>
      </c>
    </row>
    <row r="5" spans="1:3" x14ac:dyDescent="0.25">
      <c r="A5" s="2" t="s">
        <v>13</v>
      </c>
      <c r="B5" s="6">
        <v>444456538</v>
      </c>
      <c r="C5" s="8">
        <f>B5/B12</f>
        <v>0.58511388821864085</v>
      </c>
    </row>
    <row r="6" spans="1:3" x14ac:dyDescent="0.25">
      <c r="A6" s="2" t="s">
        <v>14</v>
      </c>
      <c r="B6" s="6">
        <v>61183938</v>
      </c>
      <c r="C6" s="8">
        <f>B6/B12</f>
        <v>8.0546844964418662E-2</v>
      </c>
    </row>
    <row r="7" spans="1:3" ht="30" x14ac:dyDescent="0.25">
      <c r="A7" s="12" t="s">
        <v>15</v>
      </c>
      <c r="B7" s="6">
        <v>81989872</v>
      </c>
      <c r="C7" s="8">
        <f>B7/B12</f>
        <v>0.10793724177473721</v>
      </c>
    </row>
    <row r="8" spans="1:3" ht="30" x14ac:dyDescent="0.25">
      <c r="A8" s="12" t="s">
        <v>16</v>
      </c>
      <c r="B8" s="6">
        <v>63039952</v>
      </c>
      <c r="C8" s="8">
        <f>B8/B12</f>
        <v>8.2990232506910469E-2</v>
      </c>
    </row>
    <row r="9" spans="1:3" x14ac:dyDescent="0.25">
      <c r="A9" s="12" t="s">
        <v>17</v>
      </c>
      <c r="B9" s="6">
        <v>4774592</v>
      </c>
      <c r="C9" s="8">
        <f>B9/B12</f>
        <v>6.2856091674313875E-3</v>
      </c>
    </row>
    <row r="10" spans="1:3" x14ac:dyDescent="0.25">
      <c r="A10" s="2" t="s">
        <v>18</v>
      </c>
      <c r="B10" s="6">
        <v>24576754</v>
      </c>
      <c r="C10" s="8">
        <f>B10/B12</f>
        <v>3.2354569824627116E-2</v>
      </c>
    </row>
    <row r="11" spans="1:3" x14ac:dyDescent="0.25">
      <c r="A11" s="2" t="s">
        <v>19</v>
      </c>
      <c r="B11" s="6">
        <v>9911998</v>
      </c>
      <c r="C11" s="8">
        <f>B11/B12</f>
        <v>1.3048852236245858E-2</v>
      </c>
    </row>
    <row r="12" spans="1:3" x14ac:dyDescent="0.25">
      <c r="A12" s="220" t="s">
        <v>20</v>
      </c>
      <c r="B12" s="217">
        <f>SUM(B4:B11)</f>
        <v>759606885</v>
      </c>
      <c r="C12" s="218">
        <f>SUM(C4:C11)</f>
        <v>1</v>
      </c>
    </row>
    <row r="16" spans="1:3" ht="16.5" customHeight="1" x14ac:dyDescent="0.25"/>
    <row r="17" spans="1:8" ht="16.5" customHeight="1" x14ac:dyDescent="0.25"/>
    <row r="19" spans="1:8" x14ac:dyDescent="0.25">
      <c r="A19" s="415" t="s">
        <v>595</v>
      </c>
    </row>
    <row r="21" spans="1:8" ht="30" x14ac:dyDescent="0.25">
      <c r="A21" s="221"/>
      <c r="B21" s="215" t="s">
        <v>23</v>
      </c>
      <c r="C21" s="215" t="s">
        <v>347</v>
      </c>
      <c r="D21" s="215" t="s">
        <v>348</v>
      </c>
      <c r="E21" s="215" t="s">
        <v>349</v>
      </c>
      <c r="F21" s="215" t="s">
        <v>350</v>
      </c>
      <c r="G21" s="215" t="s">
        <v>351</v>
      </c>
      <c r="H21" s="215" t="s">
        <v>596</v>
      </c>
    </row>
    <row r="22" spans="1:8" x14ac:dyDescent="0.25">
      <c r="A22" s="2" t="s">
        <v>199</v>
      </c>
      <c r="B22" s="8">
        <v>0.39</v>
      </c>
      <c r="C22" s="8">
        <v>0.45900000000000002</v>
      </c>
      <c r="D22" s="8">
        <v>0.45400000000000001</v>
      </c>
      <c r="E22" s="8">
        <v>0.46700000000000003</v>
      </c>
      <c r="F22" s="8">
        <v>0.34599999999999997</v>
      </c>
      <c r="G22" s="8">
        <v>0.29399999999999998</v>
      </c>
      <c r="H22" s="8">
        <v>0.20599999999999999</v>
      </c>
    </row>
    <row r="23" spans="1:8" x14ac:dyDescent="0.25">
      <c r="A23" s="2" t="s">
        <v>339</v>
      </c>
      <c r="B23" s="8">
        <v>0.30199999999999999</v>
      </c>
      <c r="C23" s="8">
        <v>0.25</v>
      </c>
      <c r="D23" s="8">
        <v>0.27200000000000002</v>
      </c>
      <c r="E23" s="8">
        <v>0.29799999999999999</v>
      </c>
      <c r="F23" s="8">
        <v>0.20799999999999999</v>
      </c>
      <c r="G23" s="8">
        <v>0.20799999999999999</v>
      </c>
      <c r="H23" s="8">
        <v>0.23200000000000001</v>
      </c>
    </row>
    <row r="24" spans="1:8" x14ac:dyDescent="0.25">
      <c r="A24" s="2" t="s">
        <v>201</v>
      </c>
      <c r="B24" s="8">
        <v>0.308</v>
      </c>
      <c r="C24" s="8">
        <v>0.29099999999999998</v>
      </c>
      <c r="D24" s="8">
        <v>0.27400000000000002</v>
      </c>
      <c r="E24" s="8">
        <v>0.23499999999999999</v>
      </c>
      <c r="F24" s="8">
        <v>0.44700000000000001</v>
      </c>
      <c r="G24" s="8">
        <v>0.498</v>
      </c>
      <c r="H24" s="8">
        <v>0.56100000000000005</v>
      </c>
    </row>
    <row r="25" spans="1:8" ht="120" x14ac:dyDescent="0.25">
      <c r="A25" s="204" t="s">
        <v>345</v>
      </c>
      <c r="B25" s="205">
        <v>424.7</v>
      </c>
      <c r="C25" s="205">
        <v>464.7</v>
      </c>
      <c r="D25" s="205">
        <v>505.4</v>
      </c>
      <c r="E25" s="205">
        <v>517.70000000000005</v>
      </c>
      <c r="F25" s="205">
        <v>680.3</v>
      </c>
      <c r="G25" s="205">
        <v>802.7</v>
      </c>
      <c r="H25" s="403">
        <v>759.6</v>
      </c>
    </row>
    <row r="31" spans="1:8" x14ac:dyDescent="0.25">
      <c r="A31" s="415" t="s">
        <v>346</v>
      </c>
    </row>
    <row r="33" spans="1:13" ht="30" x14ac:dyDescent="0.25">
      <c r="A33" s="222"/>
      <c r="B33" s="223"/>
      <c r="C33" s="224"/>
      <c r="D33" s="225" t="s">
        <v>355</v>
      </c>
      <c r="E33" s="215" t="s">
        <v>347</v>
      </c>
      <c r="F33" s="215" t="s">
        <v>348</v>
      </c>
      <c r="G33" s="215" t="s">
        <v>349</v>
      </c>
      <c r="H33" s="215" t="s">
        <v>350</v>
      </c>
      <c r="I33" s="215" t="s">
        <v>351</v>
      </c>
      <c r="J33" s="401" t="s">
        <v>596</v>
      </c>
      <c r="K33" s="19"/>
      <c r="L33" s="19"/>
      <c r="M33" s="19"/>
    </row>
    <row r="34" spans="1:13" x14ac:dyDescent="0.25">
      <c r="A34" s="209" t="s">
        <v>352</v>
      </c>
      <c r="B34" s="210"/>
      <c r="C34" s="56"/>
      <c r="D34" s="208">
        <v>165.6</v>
      </c>
      <c r="E34" s="206">
        <v>213.3</v>
      </c>
      <c r="F34" s="206">
        <v>229.7</v>
      </c>
      <c r="G34" s="206">
        <v>241.8</v>
      </c>
      <c r="H34" s="206">
        <v>235.2</v>
      </c>
      <c r="I34" s="206">
        <v>235.9</v>
      </c>
      <c r="J34" s="2">
        <v>156.80000000000001</v>
      </c>
    </row>
    <row r="35" spans="1:13" x14ac:dyDescent="0.25">
      <c r="A35" s="92" t="s">
        <v>353</v>
      </c>
      <c r="B35" s="207"/>
      <c r="C35" s="34"/>
      <c r="D35" s="208">
        <v>128.30000000000001</v>
      </c>
      <c r="E35" s="206">
        <v>116</v>
      </c>
      <c r="F35" s="206">
        <v>137.4</v>
      </c>
      <c r="G35" s="206">
        <v>154.1</v>
      </c>
      <c r="H35" s="206">
        <v>141.30000000000001</v>
      </c>
      <c r="I35" s="206">
        <v>167.2</v>
      </c>
      <c r="J35" s="2">
        <v>176.3</v>
      </c>
    </row>
    <row r="36" spans="1:13" x14ac:dyDescent="0.25">
      <c r="A36" s="14" t="s">
        <v>354</v>
      </c>
      <c r="B36" s="14"/>
      <c r="C36" s="14"/>
      <c r="D36" s="206">
        <v>130.80000000000001</v>
      </c>
      <c r="E36" s="206">
        <v>135.4</v>
      </c>
      <c r="F36" s="206">
        <v>138.30000000000001</v>
      </c>
      <c r="G36" s="206">
        <v>121.8</v>
      </c>
      <c r="H36" s="206">
        <v>303.8</v>
      </c>
      <c r="I36" s="206">
        <v>399.5</v>
      </c>
      <c r="J36" s="2">
        <v>426.5</v>
      </c>
    </row>
    <row r="38" spans="1:13" ht="30" x14ac:dyDescent="0.25">
      <c r="B38" s="226"/>
      <c r="C38" s="227"/>
      <c r="D38" s="225" t="s">
        <v>347</v>
      </c>
      <c r="E38" s="215" t="s">
        <v>348</v>
      </c>
      <c r="F38" s="215" t="s">
        <v>349</v>
      </c>
      <c r="G38" s="215" t="s">
        <v>350</v>
      </c>
      <c r="H38" s="228" t="s">
        <v>351</v>
      </c>
      <c r="I38" s="401" t="s">
        <v>596</v>
      </c>
      <c r="K38" s="172"/>
    </row>
    <row r="39" spans="1:13" x14ac:dyDescent="0.25">
      <c r="B39" s="486" t="s">
        <v>199</v>
      </c>
      <c r="C39" s="486"/>
      <c r="D39" s="8">
        <v>0.28799999999999998</v>
      </c>
      <c r="E39" s="8">
        <v>7.6999999999999999E-2</v>
      </c>
      <c r="F39" s="8">
        <v>5.2999999999999999E-2</v>
      </c>
      <c r="G39" s="8">
        <v>-2.7E-2</v>
      </c>
      <c r="H39" s="8">
        <v>2.8999999999999998E-3</v>
      </c>
      <c r="I39" s="8">
        <f>(J34-I34)/I34</f>
        <v>-0.33531157270029671</v>
      </c>
    </row>
    <row r="40" spans="1:13" x14ac:dyDescent="0.25">
      <c r="B40" s="435" t="s">
        <v>339</v>
      </c>
      <c r="C40" s="435"/>
      <c r="D40" s="8">
        <v>-9.7000000000000003E-2</v>
      </c>
      <c r="E40" s="8">
        <v>0.185</v>
      </c>
      <c r="F40" s="8">
        <v>0.121</v>
      </c>
      <c r="G40" s="8">
        <v>-8.3000000000000004E-2</v>
      </c>
      <c r="H40" s="8">
        <v>0.183</v>
      </c>
      <c r="I40" s="8">
        <f>(J35-I35)/I35</f>
        <v>5.4425837320574301E-2</v>
      </c>
    </row>
    <row r="41" spans="1:13" x14ac:dyDescent="0.25">
      <c r="B41" s="435" t="s">
        <v>201</v>
      </c>
      <c r="C41" s="435"/>
      <c r="D41" s="8">
        <v>3.5999999999999997E-2</v>
      </c>
      <c r="E41" s="8">
        <v>2.1000000000000001E-2</v>
      </c>
      <c r="F41" s="8">
        <v>-0.11899999999999999</v>
      </c>
      <c r="G41" s="8">
        <v>1.494</v>
      </c>
      <c r="H41" s="8">
        <v>0.315</v>
      </c>
      <c r="I41" s="8">
        <f>(J36-I36)/I36</f>
        <v>6.7584480600750937E-2</v>
      </c>
    </row>
    <row r="58" spans="1:13" x14ac:dyDescent="0.25">
      <c r="A58" s="415" t="s">
        <v>597</v>
      </c>
    </row>
    <row r="60" spans="1:13" ht="30" x14ac:dyDescent="0.25">
      <c r="A60" s="226"/>
      <c r="B60" s="229"/>
      <c r="C60" s="229"/>
      <c r="D60" s="227"/>
      <c r="E60" s="225" t="s">
        <v>355</v>
      </c>
      <c r="F60" s="215" t="s">
        <v>347</v>
      </c>
      <c r="G60" s="215" t="s">
        <v>348</v>
      </c>
      <c r="H60" s="215" t="s">
        <v>349</v>
      </c>
      <c r="I60" s="215" t="s">
        <v>350</v>
      </c>
      <c r="J60" s="215" t="s">
        <v>351</v>
      </c>
      <c r="K60" s="402" t="s">
        <v>596</v>
      </c>
      <c r="L60" s="19"/>
      <c r="M60" s="19"/>
    </row>
    <row r="61" spans="1:13" x14ac:dyDescent="0.25">
      <c r="A61" s="486" t="s">
        <v>352</v>
      </c>
      <c r="B61" s="486"/>
      <c r="C61" s="486"/>
      <c r="D61" s="486"/>
      <c r="E61" s="206">
        <v>165.6</v>
      </c>
      <c r="F61" s="206">
        <v>213.3</v>
      </c>
      <c r="G61" s="206">
        <v>229.7</v>
      </c>
      <c r="H61" s="206">
        <v>241.8</v>
      </c>
      <c r="I61" s="206">
        <v>235.2</v>
      </c>
      <c r="J61" s="206">
        <v>235.9</v>
      </c>
      <c r="K61" s="2">
        <v>156.80000000000001</v>
      </c>
    </row>
    <row r="62" spans="1:13" x14ac:dyDescent="0.25">
      <c r="A62" s="435" t="s">
        <v>353</v>
      </c>
      <c r="B62" s="435"/>
      <c r="C62" s="435"/>
      <c r="D62" s="435"/>
      <c r="E62" s="206">
        <v>128.30000000000001</v>
      </c>
      <c r="F62" s="206">
        <v>116</v>
      </c>
      <c r="G62" s="206">
        <v>137.4</v>
      </c>
      <c r="H62" s="206">
        <v>154.1</v>
      </c>
      <c r="I62" s="206">
        <v>151.4</v>
      </c>
      <c r="J62" s="206">
        <v>167.2</v>
      </c>
      <c r="K62" s="2">
        <v>176.3</v>
      </c>
    </row>
    <row r="63" spans="1:13" x14ac:dyDescent="0.25">
      <c r="A63" s="435" t="s">
        <v>354</v>
      </c>
      <c r="B63" s="435"/>
      <c r="C63" s="435"/>
      <c r="D63" s="435"/>
      <c r="E63" s="206">
        <v>130.80000000000001</v>
      </c>
      <c r="F63" s="206">
        <v>135.4</v>
      </c>
      <c r="G63" s="206">
        <v>138.30000000000001</v>
      </c>
      <c r="H63" s="206">
        <v>121.8</v>
      </c>
      <c r="I63" s="206">
        <v>303.8</v>
      </c>
      <c r="J63" s="206">
        <v>399.5</v>
      </c>
      <c r="K63" s="2">
        <v>426.5</v>
      </c>
    </row>
    <row r="64" spans="1:13" x14ac:dyDescent="0.25">
      <c r="A64" s="435" t="s">
        <v>356</v>
      </c>
      <c r="B64" s="435"/>
      <c r="C64" s="435"/>
      <c r="D64" s="435"/>
      <c r="E64" s="6">
        <v>93386</v>
      </c>
      <c r="F64" s="6">
        <v>92613</v>
      </c>
      <c r="G64" s="6">
        <v>41408</v>
      </c>
      <c r="H64" s="6">
        <v>43826</v>
      </c>
      <c r="I64" s="6">
        <v>44360</v>
      </c>
      <c r="J64" s="6">
        <v>46955</v>
      </c>
      <c r="K64" s="6">
        <v>27756</v>
      </c>
    </row>
    <row r="65" spans="1:11" x14ac:dyDescent="0.25">
      <c r="A65" s="435" t="s">
        <v>357</v>
      </c>
      <c r="B65" s="435"/>
      <c r="C65" s="435"/>
      <c r="D65" s="435"/>
      <c r="E65" s="6">
        <v>3443</v>
      </c>
      <c r="F65" s="6">
        <v>4130</v>
      </c>
      <c r="G65" s="6">
        <v>3681</v>
      </c>
      <c r="H65" s="6">
        <v>4292</v>
      </c>
      <c r="I65" s="6">
        <v>3725</v>
      </c>
      <c r="J65" s="6">
        <v>2320</v>
      </c>
      <c r="K65" s="6">
        <v>2611</v>
      </c>
    </row>
    <row r="66" spans="1:11" x14ac:dyDescent="0.25">
      <c r="A66" s="435" t="s">
        <v>358</v>
      </c>
      <c r="B66" s="435"/>
      <c r="C66" s="435"/>
      <c r="D66" s="435"/>
      <c r="E66" s="6">
        <v>5926</v>
      </c>
      <c r="F66" s="6">
        <v>7341</v>
      </c>
      <c r="G66" s="6">
        <v>4429</v>
      </c>
      <c r="H66" s="6">
        <v>4337</v>
      </c>
      <c r="I66" s="6">
        <v>10238</v>
      </c>
      <c r="J66" s="6">
        <v>6206</v>
      </c>
      <c r="K66" s="6">
        <v>6664</v>
      </c>
    </row>
    <row r="96" spans="1:1" x14ac:dyDescent="0.25">
      <c r="A96" s="415" t="s">
        <v>359</v>
      </c>
    </row>
    <row r="98" spans="1:5" x14ac:dyDescent="0.25">
      <c r="A98" s="221"/>
      <c r="B98" s="221" t="s">
        <v>199</v>
      </c>
      <c r="C98" s="221" t="s">
        <v>200</v>
      </c>
      <c r="D98" s="221" t="s">
        <v>201</v>
      </c>
    </row>
    <row r="99" spans="1:5" ht="30" x14ac:dyDescent="0.25">
      <c r="A99" s="213" t="s">
        <v>12</v>
      </c>
      <c r="B99" s="8">
        <f>(26338988-51212607)/51212607</f>
        <v>-0.4856932786100891</v>
      </c>
      <c r="C99" s="8">
        <f>(25845441-34813135)/34813135</f>
        <v>-0.25759512896497255</v>
      </c>
      <c r="D99" s="8">
        <f>(17488812-14174597)/14174597</f>
        <v>0.23381370207562163</v>
      </c>
      <c r="E99" s="188"/>
    </row>
    <row r="100" spans="1:5" x14ac:dyDescent="0.25">
      <c r="A100" s="92" t="s">
        <v>13</v>
      </c>
      <c r="B100" s="8">
        <f>(72018084-92531009)/92531009</f>
        <v>-0.22168703466748105</v>
      </c>
      <c r="C100" s="8">
        <f>(74524578-47254736)/47254736</f>
        <v>0.57708167071338623</v>
      </c>
      <c r="D100" s="8">
        <f>(297913876-256099047)/256099047</f>
        <v>0.16327600391265806</v>
      </c>
      <c r="E100" s="188"/>
    </row>
    <row r="101" spans="1:5" x14ac:dyDescent="0.25">
      <c r="A101" s="92" t="s">
        <v>14</v>
      </c>
      <c r="B101" s="8">
        <f>(23676014-40287344)/40287344</f>
        <v>-0.41232129871852558</v>
      </c>
      <c r="C101" s="8">
        <f>(20101441-17180505)/17180505</f>
        <v>0.1700145601075172</v>
      </c>
      <c r="D101" s="8">
        <f>(17406483-18636238)/18636238</f>
        <v>-6.5987298509495321E-2</v>
      </c>
      <c r="E101" s="188"/>
    </row>
    <row r="102" spans="1:5" ht="30" x14ac:dyDescent="0.25">
      <c r="A102" s="213" t="s">
        <v>15</v>
      </c>
      <c r="B102" s="8">
        <f>(2012465-7187568)/7187568</f>
        <v>-0.72000751853756373</v>
      </c>
      <c r="C102" s="8">
        <f>(22452188-24265804)/24265804</f>
        <v>-7.4739580027927369E-2</v>
      </c>
      <c r="D102" s="8">
        <f>(57525219-61184447)/61184447</f>
        <v>-5.9806506055370572E-2</v>
      </c>
      <c r="E102" s="188"/>
    </row>
    <row r="103" spans="1:5" ht="30" x14ac:dyDescent="0.25">
      <c r="A103" s="213" t="s">
        <v>16</v>
      </c>
      <c r="B103" s="8">
        <f>(16806310-11394964)/11394964</f>
        <v>0.47488925809682242</v>
      </c>
      <c r="C103" s="8">
        <f>(27769044-29031710)/29031710</f>
        <v>-4.3492649933469296E-2</v>
      </c>
      <c r="D103" s="8">
        <f>(18464598-28515268)/28515268</f>
        <v>-0.35246626473929688</v>
      </c>
      <c r="E103" s="188"/>
    </row>
    <row r="104" spans="1:5" ht="30" x14ac:dyDescent="0.25">
      <c r="A104" s="213" t="s">
        <v>17</v>
      </c>
      <c r="B104" s="8">
        <f>(108-61609)/61609</f>
        <v>-0.9982470093655148</v>
      </c>
      <c r="C104" s="8">
        <f>(1331319-2643218)/2643218</f>
        <v>-0.49632644753478528</v>
      </c>
      <c r="D104" s="8">
        <f>(3443165-3449222)/3449222</f>
        <v>-1.7560481755016059E-3</v>
      </c>
      <c r="E104" s="188"/>
    </row>
    <row r="105" spans="1:5" x14ac:dyDescent="0.25">
      <c r="A105" s="92" t="s">
        <v>18</v>
      </c>
      <c r="B105" s="8">
        <f>(10790194-32224424)/32224424</f>
        <v>-0.66515479066437311</v>
      </c>
      <c r="C105" s="8">
        <f>(2554415-8695915)/8695915</f>
        <v>-0.70625115355888368</v>
      </c>
      <c r="D105" s="8">
        <f>(11232145-13740867)/13740867</f>
        <v>-0.18257377791372262</v>
      </c>
      <c r="E105" s="188"/>
    </row>
    <row r="106" spans="1:5" x14ac:dyDescent="0.25">
      <c r="A106" s="92" t="s">
        <v>19</v>
      </c>
      <c r="B106" s="8">
        <f>(5207498-1002056)/1002056</f>
        <v>4.1968133517488049</v>
      </c>
      <c r="C106" s="8">
        <f>(1690186-3321928)/3321928</f>
        <v>-0.49120330121543876</v>
      </c>
      <c r="D106" s="8">
        <f>(3014314-3767044)/3767044</f>
        <v>-0.19981980566194607</v>
      </c>
      <c r="E106" s="188"/>
    </row>
  </sheetData>
  <mergeCells count="9">
    <mergeCell ref="A64:D64"/>
    <mergeCell ref="A65:D65"/>
    <mergeCell ref="A66:D66"/>
    <mergeCell ref="B39:C39"/>
    <mergeCell ref="B40:C40"/>
    <mergeCell ref="B41:C41"/>
    <mergeCell ref="A61:D61"/>
    <mergeCell ref="A62:D62"/>
    <mergeCell ref="A63:D63"/>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58"/>
  <sheetViews>
    <sheetView topLeftCell="A37" workbookViewId="0">
      <selection activeCell="P57" sqref="P57"/>
    </sheetView>
  </sheetViews>
  <sheetFormatPr defaultRowHeight="15" x14ac:dyDescent="0.25"/>
  <cols>
    <col min="1" max="1" width="5.85546875" customWidth="1"/>
    <col min="2" max="2" width="7.140625" customWidth="1"/>
    <col min="3" max="3" width="6" customWidth="1"/>
    <col min="4" max="4" width="14.85546875" bestFit="1" customWidth="1"/>
    <col min="5" max="5" width="6.42578125" customWidth="1"/>
    <col min="6" max="6" width="10.85546875" bestFit="1" customWidth="1"/>
    <col min="7" max="7" width="12.28515625" bestFit="1" customWidth="1"/>
    <col min="8" max="8" width="10.5703125" bestFit="1" customWidth="1"/>
    <col min="9" max="9" width="10.7109375" bestFit="1" customWidth="1"/>
    <col min="10" max="11" width="10.85546875" bestFit="1" customWidth="1"/>
    <col min="12" max="12" width="9.85546875" bestFit="1" customWidth="1"/>
    <col min="13" max="13" width="10" bestFit="1" customWidth="1"/>
    <col min="14" max="14" width="10.85546875" bestFit="1" customWidth="1"/>
    <col min="15" max="15" width="10.5703125" bestFit="1" customWidth="1"/>
    <col min="16" max="16" width="13.140625" bestFit="1" customWidth="1"/>
    <col min="17" max="17" width="10.5703125" bestFit="1" customWidth="1"/>
    <col min="21" max="21" width="12.5703125" bestFit="1" customWidth="1"/>
  </cols>
  <sheetData>
    <row r="1" spans="1:21" x14ac:dyDescent="0.25">
      <c r="A1" s="415" t="s">
        <v>43</v>
      </c>
      <c r="R1" s="23"/>
    </row>
    <row r="3" spans="1:21" ht="46.5" customHeight="1" x14ac:dyDescent="0.25">
      <c r="A3" s="502" t="s">
        <v>38</v>
      </c>
      <c r="B3" s="500" t="s">
        <v>45</v>
      </c>
      <c r="C3" s="500"/>
      <c r="D3" s="500"/>
      <c r="E3" s="500" t="s">
        <v>47</v>
      </c>
      <c r="F3" s="500"/>
      <c r="G3" s="500"/>
      <c r="H3" s="498" t="s">
        <v>49</v>
      </c>
      <c r="I3" s="498"/>
      <c r="J3" s="498"/>
      <c r="K3" s="500" t="s">
        <v>46</v>
      </c>
      <c r="L3" s="500"/>
      <c r="M3" s="501"/>
      <c r="N3" s="509" t="s">
        <v>11</v>
      </c>
      <c r="O3" s="502"/>
      <c r="P3" s="502"/>
      <c r="Q3" s="500" t="s">
        <v>159</v>
      </c>
    </row>
    <row r="4" spans="1:21" ht="90" x14ac:dyDescent="0.25">
      <c r="A4" s="502"/>
      <c r="B4" s="214" t="s">
        <v>48</v>
      </c>
      <c r="C4" s="214" t="s">
        <v>161</v>
      </c>
      <c r="D4" s="214" t="s">
        <v>44</v>
      </c>
      <c r="E4" s="214" t="s">
        <v>48</v>
      </c>
      <c r="F4" s="214" t="s">
        <v>178</v>
      </c>
      <c r="G4" s="214" t="s">
        <v>44</v>
      </c>
      <c r="H4" s="214" t="s">
        <v>177</v>
      </c>
      <c r="I4" s="214" t="s">
        <v>178</v>
      </c>
      <c r="J4" s="214" t="s">
        <v>44</v>
      </c>
      <c r="K4" s="214" t="s">
        <v>177</v>
      </c>
      <c r="L4" s="214" t="s">
        <v>151</v>
      </c>
      <c r="M4" s="230" t="s">
        <v>44</v>
      </c>
      <c r="N4" s="231" t="s">
        <v>177</v>
      </c>
      <c r="O4" s="214" t="s">
        <v>151</v>
      </c>
      <c r="P4" s="214" t="s">
        <v>44</v>
      </c>
      <c r="Q4" s="500"/>
    </row>
    <row r="5" spans="1:21" x14ac:dyDescent="0.25">
      <c r="A5" s="2">
        <v>2012</v>
      </c>
      <c r="B5" s="70"/>
      <c r="C5" s="2">
        <v>52</v>
      </c>
      <c r="D5" s="6">
        <v>18927041</v>
      </c>
      <c r="E5" s="70"/>
      <c r="F5" s="2">
        <v>2</v>
      </c>
      <c r="G5" s="6">
        <v>261096977</v>
      </c>
      <c r="H5" s="70"/>
      <c r="I5" s="2">
        <v>9</v>
      </c>
      <c r="J5" s="6">
        <v>996010</v>
      </c>
      <c r="K5" s="70"/>
      <c r="L5" s="2">
        <v>8</v>
      </c>
      <c r="M5" s="25">
        <v>26892277</v>
      </c>
      <c r="N5" s="24">
        <v>0</v>
      </c>
      <c r="O5" s="2">
        <f t="shared" ref="O5:P9" si="0">C5+F5+I5+L5</f>
        <v>71</v>
      </c>
      <c r="P5" s="6">
        <f t="shared" si="0"/>
        <v>307912305</v>
      </c>
      <c r="Q5" s="6">
        <f>P5/O5</f>
        <v>4336793.0281690145</v>
      </c>
    </row>
    <row r="6" spans="1:21" x14ac:dyDescent="0.25">
      <c r="A6" s="2">
        <v>2013</v>
      </c>
      <c r="B6" s="70"/>
      <c r="C6" s="2">
        <v>61</v>
      </c>
      <c r="D6" s="6">
        <v>21098554</v>
      </c>
      <c r="E6" s="70"/>
      <c r="F6" s="2">
        <v>0</v>
      </c>
      <c r="G6" s="6">
        <v>0</v>
      </c>
      <c r="H6" s="70"/>
      <c r="I6" s="2">
        <v>8</v>
      </c>
      <c r="J6" s="6">
        <v>1411781</v>
      </c>
      <c r="K6" s="70"/>
      <c r="L6" s="2">
        <v>12</v>
      </c>
      <c r="M6" s="25">
        <v>27501354</v>
      </c>
      <c r="N6" s="24">
        <v>0</v>
      </c>
      <c r="O6" s="2">
        <f t="shared" si="0"/>
        <v>81</v>
      </c>
      <c r="P6" s="6">
        <f t="shared" si="0"/>
        <v>50011689</v>
      </c>
      <c r="Q6" s="6">
        <f>P6/O6</f>
        <v>617428.25925925921</v>
      </c>
    </row>
    <row r="7" spans="1:21" x14ac:dyDescent="0.25">
      <c r="A7" s="2">
        <v>2014</v>
      </c>
      <c r="B7" s="2">
        <v>19</v>
      </c>
      <c r="C7" s="2">
        <v>107</v>
      </c>
      <c r="D7" s="6">
        <v>59729802</v>
      </c>
      <c r="E7" s="2">
        <v>3</v>
      </c>
      <c r="F7" s="2">
        <v>6</v>
      </c>
      <c r="G7" s="6">
        <v>164507312</v>
      </c>
      <c r="H7" s="2">
        <v>17</v>
      </c>
      <c r="I7" s="2">
        <v>41</v>
      </c>
      <c r="J7" s="6">
        <v>5321663</v>
      </c>
      <c r="K7" s="2">
        <v>2</v>
      </c>
      <c r="L7" s="2">
        <v>10</v>
      </c>
      <c r="M7" s="25">
        <v>38944180</v>
      </c>
      <c r="N7" s="24">
        <v>41</v>
      </c>
      <c r="O7" s="2">
        <f t="shared" si="0"/>
        <v>164</v>
      </c>
      <c r="P7" s="6">
        <f t="shared" si="0"/>
        <v>268502957</v>
      </c>
      <c r="Q7" s="6">
        <f>P7/O7</f>
        <v>1637213.1524390243</v>
      </c>
    </row>
    <row r="8" spans="1:21" x14ac:dyDescent="0.25">
      <c r="A8" s="2">
        <v>2015</v>
      </c>
      <c r="B8" s="2">
        <v>29</v>
      </c>
      <c r="C8" s="2">
        <v>114</v>
      </c>
      <c r="D8" s="6">
        <v>53923521</v>
      </c>
      <c r="E8" s="2">
        <v>1</v>
      </c>
      <c r="F8" s="2">
        <v>1</v>
      </c>
      <c r="G8" s="6">
        <v>46471239</v>
      </c>
      <c r="H8" s="2">
        <v>11</v>
      </c>
      <c r="I8" s="2">
        <v>65</v>
      </c>
      <c r="J8" s="6">
        <v>2416917</v>
      </c>
      <c r="K8" s="2">
        <v>2</v>
      </c>
      <c r="L8" s="2">
        <v>8</v>
      </c>
      <c r="M8" s="25">
        <v>23704458</v>
      </c>
      <c r="N8" s="24">
        <f>B8+E8+H8+K8</f>
        <v>43</v>
      </c>
      <c r="O8" s="2">
        <f t="shared" si="0"/>
        <v>188</v>
      </c>
      <c r="P8" s="6">
        <f t="shared" si="0"/>
        <v>126516135</v>
      </c>
      <c r="Q8" s="6">
        <f>P8/O8</f>
        <v>672958.16489361704</v>
      </c>
    </row>
    <row r="9" spans="1:21" x14ac:dyDescent="0.25">
      <c r="A9" s="135">
        <v>2016</v>
      </c>
      <c r="B9" s="2">
        <v>29</v>
      </c>
      <c r="C9" s="2">
        <v>110</v>
      </c>
      <c r="D9" s="6">
        <v>52163751</v>
      </c>
      <c r="E9" s="2">
        <v>1</v>
      </c>
      <c r="F9" s="2">
        <v>1</v>
      </c>
      <c r="G9" s="6">
        <v>45392495</v>
      </c>
      <c r="H9" s="2">
        <v>17</v>
      </c>
      <c r="I9" s="2">
        <v>66</v>
      </c>
      <c r="J9" s="6">
        <v>2555464</v>
      </c>
      <c r="K9" s="2">
        <v>1</v>
      </c>
      <c r="L9" s="2">
        <v>69</v>
      </c>
      <c r="M9" s="6">
        <v>21267963</v>
      </c>
      <c r="N9" s="2">
        <v>48</v>
      </c>
      <c r="O9" s="2">
        <f t="shared" si="0"/>
        <v>246</v>
      </c>
      <c r="P9" s="6">
        <f t="shared" si="0"/>
        <v>121379673</v>
      </c>
      <c r="Q9" s="6">
        <f>P9/O9</f>
        <v>493413.30487804877</v>
      </c>
    </row>
    <row r="11" spans="1:21" x14ac:dyDescent="0.25">
      <c r="A11" s="415" t="s">
        <v>149</v>
      </c>
      <c r="R11" s="18"/>
      <c r="S11" s="18"/>
      <c r="T11" s="18"/>
      <c r="U11" s="32"/>
    </row>
    <row r="12" spans="1:21" x14ac:dyDescent="0.25">
      <c r="R12" s="18"/>
      <c r="S12" s="18"/>
      <c r="T12" s="18"/>
      <c r="U12" s="32"/>
    </row>
    <row r="13" spans="1:21" x14ac:dyDescent="0.25">
      <c r="A13" s="494" t="s">
        <v>38</v>
      </c>
      <c r="B13" s="494" t="s">
        <v>9</v>
      </c>
      <c r="C13" s="494"/>
      <c r="D13" s="494"/>
      <c r="E13" s="495"/>
      <c r="F13" s="36"/>
      <c r="G13" s="235"/>
      <c r="H13" s="236"/>
      <c r="R13" s="18"/>
      <c r="S13" s="18"/>
      <c r="T13" s="18"/>
      <c r="U13" s="32"/>
    </row>
    <row r="14" spans="1:21" ht="149.25" customHeight="1" x14ac:dyDescent="0.25">
      <c r="A14" s="494"/>
      <c r="B14" s="232" t="s">
        <v>152</v>
      </c>
      <c r="C14" s="233" t="s">
        <v>153</v>
      </c>
      <c r="D14" s="232" t="s">
        <v>6</v>
      </c>
      <c r="E14" s="234" t="s">
        <v>155</v>
      </c>
      <c r="F14" s="37"/>
      <c r="G14" s="237" t="s">
        <v>154</v>
      </c>
      <c r="H14" s="238" t="s">
        <v>179</v>
      </c>
      <c r="R14" s="18"/>
      <c r="S14" s="18"/>
      <c r="T14" s="18"/>
      <c r="U14" s="18"/>
    </row>
    <row r="15" spans="1:21" x14ac:dyDescent="0.25">
      <c r="A15" s="2">
        <v>2012</v>
      </c>
      <c r="B15" s="2"/>
      <c r="C15" s="86"/>
      <c r="D15" s="6">
        <f>P5</f>
        <v>307912305</v>
      </c>
      <c r="E15" s="87">
        <v>0.17100000000000001</v>
      </c>
      <c r="F15" s="37"/>
      <c r="G15" s="35">
        <v>1804590796</v>
      </c>
      <c r="H15" s="2">
        <v>240</v>
      </c>
    </row>
    <row r="16" spans="1:21" x14ac:dyDescent="0.25">
      <c r="A16" s="2">
        <v>2013</v>
      </c>
      <c r="B16" s="2"/>
      <c r="C16" s="86"/>
      <c r="D16" s="6">
        <f>P6</f>
        <v>50011689</v>
      </c>
      <c r="E16" s="87">
        <v>3.7999999999999999E-2</v>
      </c>
      <c r="F16" s="37"/>
      <c r="G16" s="35">
        <v>1305115872</v>
      </c>
      <c r="H16" s="2">
        <v>238</v>
      </c>
    </row>
    <row r="17" spans="1:12" x14ac:dyDescent="0.25">
      <c r="A17" s="2">
        <v>2014</v>
      </c>
      <c r="B17" s="2">
        <v>41</v>
      </c>
      <c r="C17" s="75">
        <f>B17/H17</f>
        <v>0.18552036199095023</v>
      </c>
      <c r="D17" s="6">
        <f>P7</f>
        <v>268502957</v>
      </c>
      <c r="E17" s="87">
        <v>0.16400000000000001</v>
      </c>
      <c r="F17" s="37"/>
      <c r="G17" s="35">
        <v>1632977236</v>
      </c>
      <c r="H17" s="2">
        <v>221</v>
      </c>
    </row>
    <row r="18" spans="1:12" x14ac:dyDescent="0.25">
      <c r="A18" s="2">
        <v>2015</v>
      </c>
      <c r="B18" s="2">
        <f>N8</f>
        <v>43</v>
      </c>
      <c r="C18" s="75">
        <f>B18/II_Dinamika_sps_skaits_kopā_sum!G17</f>
        <v>0.18297872340425531</v>
      </c>
      <c r="D18" s="33">
        <f>P8</f>
        <v>126516135</v>
      </c>
      <c r="E18" s="87">
        <v>9.8000000000000004E-2</v>
      </c>
      <c r="F18" s="37"/>
      <c r="G18" s="35">
        <v>1296767325</v>
      </c>
      <c r="H18" s="2">
        <v>235</v>
      </c>
    </row>
    <row r="19" spans="1:12" x14ac:dyDescent="0.25">
      <c r="A19" s="135">
        <v>2016</v>
      </c>
      <c r="B19" s="2">
        <v>48</v>
      </c>
      <c r="C19" s="75">
        <v>0.21099999999999999</v>
      </c>
      <c r="D19" s="6">
        <v>121379673</v>
      </c>
      <c r="E19" s="75">
        <v>7.9000000000000001E-2</v>
      </c>
      <c r="F19" s="38"/>
      <c r="G19" s="6">
        <v>1529612786</v>
      </c>
      <c r="H19" s="2">
        <v>228</v>
      </c>
    </row>
    <row r="21" spans="1:12" x14ac:dyDescent="0.25">
      <c r="B21" s="415" t="s">
        <v>598</v>
      </c>
    </row>
    <row r="23" spans="1:12" ht="30.75" customHeight="1" x14ac:dyDescent="0.25">
      <c r="A23" s="494"/>
      <c r="B23" s="494"/>
      <c r="C23" s="494"/>
      <c r="D23" s="506" t="s">
        <v>28</v>
      </c>
      <c r="E23" s="506"/>
      <c r="F23" s="507"/>
      <c r="G23" s="495" t="s">
        <v>496</v>
      </c>
      <c r="H23" s="506"/>
      <c r="I23" s="506"/>
      <c r="J23" s="503" t="s">
        <v>599</v>
      </c>
      <c r="K23" s="504"/>
      <c r="L23" s="505"/>
    </row>
    <row r="24" spans="1:12" ht="75" x14ac:dyDescent="0.25">
      <c r="A24" s="494"/>
      <c r="B24" s="494"/>
      <c r="C24" s="494"/>
      <c r="D24" s="239" t="s">
        <v>150</v>
      </c>
      <c r="E24" s="214" t="s">
        <v>165</v>
      </c>
      <c r="F24" s="214" t="s">
        <v>44</v>
      </c>
      <c r="G24" s="214" t="s">
        <v>150</v>
      </c>
      <c r="H24" s="214" t="s">
        <v>151</v>
      </c>
      <c r="I24" s="230" t="s">
        <v>44</v>
      </c>
      <c r="J24" s="240" t="s">
        <v>177</v>
      </c>
      <c r="K24" s="241" t="s">
        <v>161</v>
      </c>
      <c r="L24" s="241" t="s">
        <v>44</v>
      </c>
    </row>
    <row r="25" spans="1:12" x14ac:dyDescent="0.25">
      <c r="A25" s="513" t="s">
        <v>11</v>
      </c>
      <c r="B25" s="513"/>
      <c r="C25" s="513"/>
      <c r="D25" s="56">
        <v>43</v>
      </c>
      <c r="E25" s="57">
        <v>188</v>
      </c>
      <c r="F25" s="58">
        <v>126516135</v>
      </c>
      <c r="G25" s="404">
        <f>G27+G28+G29+G30</f>
        <v>48</v>
      </c>
      <c r="H25" s="404">
        <f>H27+H28+H29+H30</f>
        <v>246</v>
      </c>
      <c r="I25" s="60">
        <f>I27+I28+I29+I30</f>
        <v>121379673</v>
      </c>
      <c r="J25" s="78">
        <f>(G25-D25)/D25</f>
        <v>0.11627906976744186</v>
      </c>
      <c r="K25" s="79">
        <f>(H25-E25)/E25</f>
        <v>0.30851063829787234</v>
      </c>
      <c r="L25" s="79">
        <f>(I25-F25)/F25</f>
        <v>-4.0599264275659387E-2</v>
      </c>
    </row>
    <row r="26" spans="1:12" x14ac:dyDescent="0.25">
      <c r="A26" s="437" t="s">
        <v>176</v>
      </c>
      <c r="B26" s="508"/>
      <c r="C26" s="508"/>
      <c r="D26" s="63"/>
      <c r="E26" s="64"/>
      <c r="F26" s="64"/>
      <c r="G26" s="63"/>
      <c r="H26" s="65"/>
      <c r="I26" s="65"/>
      <c r="J26" s="80"/>
      <c r="K26" s="81"/>
      <c r="L26" s="82"/>
    </row>
    <row r="27" spans="1:12" x14ac:dyDescent="0.25">
      <c r="A27" s="510" t="s">
        <v>12</v>
      </c>
      <c r="B27" s="510"/>
      <c r="C27" s="510"/>
      <c r="D27" s="21">
        <v>29</v>
      </c>
      <c r="E27" s="61">
        <v>114</v>
      </c>
      <c r="F27" s="61">
        <v>53923521</v>
      </c>
      <c r="G27" s="61">
        <v>29</v>
      </c>
      <c r="H27" s="21">
        <v>110</v>
      </c>
      <c r="I27" s="62">
        <v>52163751</v>
      </c>
      <c r="J27" s="83">
        <f t="shared" ref="J27:L30" si="1">(G27-D27)/D27</f>
        <v>0</v>
      </c>
      <c r="K27" s="84">
        <f t="shared" si="1"/>
        <v>-3.5087719298245612E-2</v>
      </c>
      <c r="L27" s="84">
        <f t="shared" si="1"/>
        <v>-3.2634552925429335E-2</v>
      </c>
    </row>
    <row r="28" spans="1:12" x14ac:dyDescent="0.25">
      <c r="A28" s="511" t="s">
        <v>14</v>
      </c>
      <c r="B28" s="511"/>
      <c r="C28" s="511"/>
      <c r="D28" s="6">
        <v>11</v>
      </c>
      <c r="E28" s="48">
        <v>65</v>
      </c>
      <c r="F28" s="48">
        <v>2416917</v>
      </c>
      <c r="G28" s="48">
        <v>17</v>
      </c>
      <c r="H28" s="6">
        <v>66</v>
      </c>
      <c r="I28" s="25">
        <v>2555464</v>
      </c>
      <c r="J28" s="85">
        <f t="shared" si="1"/>
        <v>0.54545454545454541</v>
      </c>
      <c r="K28" s="75">
        <f t="shared" si="1"/>
        <v>1.5384615384615385E-2</v>
      </c>
      <c r="L28" s="75">
        <f t="shared" si="1"/>
        <v>5.7323855142729356E-2</v>
      </c>
    </row>
    <row r="29" spans="1:12" x14ac:dyDescent="0.25">
      <c r="A29" s="512" t="s">
        <v>15</v>
      </c>
      <c r="B29" s="512"/>
      <c r="C29" s="512"/>
      <c r="D29" s="6">
        <v>2</v>
      </c>
      <c r="E29" s="48">
        <v>8</v>
      </c>
      <c r="F29" s="48">
        <v>23704458</v>
      </c>
      <c r="G29" s="48">
        <v>1</v>
      </c>
      <c r="H29" s="6">
        <v>69</v>
      </c>
      <c r="I29" s="25">
        <v>21267963</v>
      </c>
      <c r="J29" s="85">
        <f t="shared" si="1"/>
        <v>-0.5</v>
      </c>
      <c r="K29" s="75">
        <f t="shared" si="1"/>
        <v>7.625</v>
      </c>
      <c r="L29" s="75">
        <f t="shared" si="1"/>
        <v>-0.10278636195773808</v>
      </c>
    </row>
    <row r="30" spans="1:12" x14ac:dyDescent="0.25">
      <c r="A30" s="512" t="s">
        <v>13</v>
      </c>
      <c r="B30" s="512"/>
      <c r="C30" s="512"/>
      <c r="D30" s="6">
        <v>1</v>
      </c>
      <c r="E30" s="48">
        <v>1</v>
      </c>
      <c r="F30" s="48">
        <v>46471239</v>
      </c>
      <c r="G30" s="48">
        <v>1</v>
      </c>
      <c r="H30" s="6">
        <v>1</v>
      </c>
      <c r="I30" s="25">
        <v>45392495</v>
      </c>
      <c r="J30" s="85">
        <f t="shared" si="1"/>
        <v>0</v>
      </c>
      <c r="K30" s="75">
        <f t="shared" si="1"/>
        <v>0</v>
      </c>
      <c r="L30" s="75">
        <f t="shared" si="1"/>
        <v>-2.3213153408713719E-2</v>
      </c>
    </row>
    <row r="31" spans="1:12" x14ac:dyDescent="0.25">
      <c r="F31" s="31"/>
    </row>
    <row r="33" spans="1:17" x14ac:dyDescent="0.25">
      <c r="A33" s="415" t="s">
        <v>600</v>
      </c>
    </row>
    <row r="35" spans="1:17" ht="32.25" customHeight="1" x14ac:dyDescent="0.25">
      <c r="A35" s="494" t="s">
        <v>163</v>
      </c>
      <c r="B35" s="494"/>
      <c r="C35" s="494"/>
      <c r="D35" s="494"/>
      <c r="E35" s="498" t="s">
        <v>12</v>
      </c>
      <c r="F35" s="498"/>
      <c r="G35" s="494" t="s">
        <v>14</v>
      </c>
      <c r="H35" s="494"/>
      <c r="I35" s="498" t="s">
        <v>15</v>
      </c>
      <c r="J35" s="498"/>
      <c r="K35" s="494" t="s">
        <v>173</v>
      </c>
      <c r="L35" s="495"/>
      <c r="M35" s="496" t="s">
        <v>20</v>
      </c>
      <c r="N35" s="494"/>
      <c r="O35" s="497" t="s">
        <v>10</v>
      </c>
    </row>
    <row r="36" spans="1:17" ht="75" x14ac:dyDescent="0.25">
      <c r="A36" s="494"/>
      <c r="B36" s="494"/>
      <c r="C36" s="494"/>
      <c r="D36" s="494"/>
      <c r="E36" s="232" t="s">
        <v>165</v>
      </c>
      <c r="F36" s="232" t="s">
        <v>6</v>
      </c>
      <c r="G36" s="232" t="s">
        <v>151</v>
      </c>
      <c r="H36" s="232" t="s">
        <v>6</v>
      </c>
      <c r="I36" s="232" t="s">
        <v>151</v>
      </c>
      <c r="J36" s="232" t="s">
        <v>6</v>
      </c>
      <c r="K36" s="232" t="s">
        <v>165</v>
      </c>
      <c r="L36" s="242" t="s">
        <v>6</v>
      </c>
      <c r="M36" s="243" t="s">
        <v>151</v>
      </c>
      <c r="N36" s="232" t="s">
        <v>6</v>
      </c>
      <c r="O36" s="497"/>
    </row>
    <row r="37" spans="1:17" x14ac:dyDescent="0.25">
      <c r="A37" s="499" t="s">
        <v>164</v>
      </c>
      <c r="B37" s="499"/>
      <c r="C37" s="499"/>
      <c r="D37" s="499"/>
      <c r="E37" s="6"/>
      <c r="F37" s="6"/>
      <c r="G37" s="6">
        <v>6</v>
      </c>
      <c r="H37" s="6">
        <v>29973</v>
      </c>
      <c r="I37" s="6"/>
      <c r="J37" s="6"/>
      <c r="K37" s="6">
        <v>1</v>
      </c>
      <c r="L37" s="25">
        <v>45392495</v>
      </c>
      <c r="M37" s="49">
        <f>K37+G37</f>
        <v>7</v>
      </c>
      <c r="N37" s="6">
        <f>H37+L37</f>
        <v>45422468</v>
      </c>
      <c r="O37" s="75">
        <f>N37/N48</f>
        <v>0.37421807850808758</v>
      </c>
    </row>
    <row r="38" spans="1:17" x14ac:dyDescent="0.25">
      <c r="A38" s="490" t="s">
        <v>166</v>
      </c>
      <c r="B38" s="491"/>
      <c r="C38" s="491"/>
      <c r="D38" s="492"/>
      <c r="E38" s="6"/>
      <c r="F38" s="6"/>
      <c r="G38" s="6"/>
      <c r="H38" s="6"/>
      <c r="I38" s="6"/>
      <c r="J38" s="6"/>
      <c r="K38" s="6"/>
      <c r="L38" s="25"/>
      <c r="M38" s="49"/>
      <c r="N38" s="6"/>
      <c r="O38" s="75"/>
    </row>
    <row r="39" spans="1:17" x14ac:dyDescent="0.25">
      <c r="A39" s="490" t="s">
        <v>167</v>
      </c>
      <c r="B39" s="491"/>
      <c r="C39" s="491"/>
      <c r="D39" s="492"/>
      <c r="E39" s="6"/>
      <c r="F39" s="6"/>
      <c r="G39" s="6">
        <v>5</v>
      </c>
      <c r="H39" s="6">
        <v>88589</v>
      </c>
      <c r="I39" s="6"/>
      <c r="J39" s="6"/>
      <c r="K39" s="6"/>
      <c r="L39" s="25"/>
      <c r="M39" s="49">
        <f>G39</f>
        <v>5</v>
      </c>
      <c r="N39" s="6">
        <f>H39</f>
        <v>88589</v>
      </c>
      <c r="O39" s="75">
        <f>N39/N48</f>
        <v>7.298503761828391E-4</v>
      </c>
    </row>
    <row r="40" spans="1:17" x14ac:dyDescent="0.25">
      <c r="A40" s="490" t="s">
        <v>603</v>
      </c>
      <c r="B40" s="491"/>
      <c r="C40" s="491"/>
      <c r="D40" s="492"/>
      <c r="E40" s="6">
        <v>1</v>
      </c>
      <c r="F40" s="6">
        <v>949823</v>
      </c>
      <c r="G40" s="6"/>
      <c r="H40" s="6"/>
      <c r="I40" s="6"/>
      <c r="J40" s="6"/>
      <c r="K40" s="6"/>
      <c r="L40" s="25"/>
      <c r="M40" s="49">
        <f>E40</f>
        <v>1</v>
      </c>
      <c r="N40" s="6">
        <f>F40</f>
        <v>949823</v>
      </c>
      <c r="O40" s="75">
        <f>N40/N48</f>
        <v>7.8252229267416137E-3</v>
      </c>
    </row>
    <row r="41" spans="1:17" x14ac:dyDescent="0.25">
      <c r="A41" s="490" t="s">
        <v>175</v>
      </c>
      <c r="B41" s="491"/>
      <c r="C41" s="491"/>
      <c r="D41" s="492"/>
      <c r="E41" s="6"/>
      <c r="F41" s="6"/>
      <c r="G41" s="6">
        <v>1</v>
      </c>
      <c r="H41" s="6">
        <v>105</v>
      </c>
      <c r="I41" s="6"/>
      <c r="J41" s="6"/>
      <c r="K41" s="6"/>
      <c r="L41" s="25"/>
      <c r="M41" s="49">
        <f>G41</f>
        <v>1</v>
      </c>
      <c r="N41" s="6">
        <f>H41</f>
        <v>105</v>
      </c>
      <c r="O41" s="75">
        <f>N41/N48</f>
        <v>8.6505423358654129E-7</v>
      </c>
    </row>
    <row r="42" spans="1:17" x14ac:dyDescent="0.25">
      <c r="A42" s="490" t="s">
        <v>168</v>
      </c>
      <c r="B42" s="491"/>
      <c r="C42" s="491"/>
      <c r="D42" s="492"/>
      <c r="E42" s="6">
        <v>1</v>
      </c>
      <c r="F42" s="6">
        <v>1634</v>
      </c>
      <c r="G42" s="6"/>
      <c r="H42" s="6"/>
      <c r="I42" s="6"/>
      <c r="J42" s="6"/>
      <c r="K42" s="6"/>
      <c r="L42" s="25"/>
      <c r="M42" s="49">
        <f>E42</f>
        <v>1</v>
      </c>
      <c r="N42" s="6">
        <f>F42</f>
        <v>1634</v>
      </c>
      <c r="O42" s="75">
        <f>N42/N48</f>
        <v>1.3461891596956271E-5</v>
      </c>
    </row>
    <row r="43" spans="1:17" x14ac:dyDescent="0.25">
      <c r="A43" s="490" t="s">
        <v>169</v>
      </c>
      <c r="B43" s="491"/>
      <c r="C43" s="491"/>
      <c r="D43" s="492"/>
      <c r="E43" s="6">
        <v>108</v>
      </c>
      <c r="F43" s="6">
        <v>51212294</v>
      </c>
      <c r="G43" s="6">
        <v>54</v>
      </c>
      <c r="H43" s="6">
        <v>2436797</v>
      </c>
      <c r="I43" s="6"/>
      <c r="J43" s="6"/>
      <c r="K43" s="6"/>
      <c r="L43" s="25"/>
      <c r="M43" s="49">
        <f>E43+G43</f>
        <v>162</v>
      </c>
      <c r="N43" s="6">
        <f>F43+H43</f>
        <v>53649091</v>
      </c>
      <c r="O43" s="75">
        <f>N43/N48</f>
        <v>0.44199403140590104</v>
      </c>
      <c r="P43" s="31"/>
      <c r="Q43" s="31"/>
    </row>
    <row r="44" spans="1:17" x14ac:dyDescent="0.25">
      <c r="A44" s="490" t="s">
        <v>170</v>
      </c>
      <c r="B44" s="491"/>
      <c r="C44" s="491"/>
      <c r="D44" s="492"/>
      <c r="E44" s="6"/>
      <c r="F44" s="6"/>
      <c r="G44" s="6"/>
      <c r="H44" s="6"/>
      <c r="I44" s="6">
        <v>69</v>
      </c>
      <c r="J44" s="6">
        <v>21267963</v>
      </c>
      <c r="K44" s="6"/>
      <c r="L44" s="25"/>
      <c r="M44" s="49">
        <f t="shared" ref="M44:N47" si="2">I44</f>
        <v>69</v>
      </c>
      <c r="N44" s="6">
        <f t="shared" si="2"/>
        <v>21267963</v>
      </c>
      <c r="O44" s="75">
        <f>N44/N48</f>
        <v>0.17521848983725635</v>
      </c>
    </row>
    <row r="45" spans="1:17" x14ac:dyDescent="0.25">
      <c r="A45" s="490" t="s">
        <v>174</v>
      </c>
      <c r="B45" s="491"/>
      <c r="C45" s="491"/>
      <c r="D45" s="492"/>
      <c r="E45" s="6"/>
      <c r="F45" s="6"/>
      <c r="G45" s="6"/>
      <c r="H45" s="6"/>
      <c r="I45" s="6"/>
      <c r="J45" s="6"/>
      <c r="K45" s="6"/>
      <c r="L45" s="25"/>
      <c r="M45" s="49">
        <f t="shared" si="2"/>
        <v>0</v>
      </c>
      <c r="N45" s="6">
        <f t="shared" si="2"/>
        <v>0</v>
      </c>
      <c r="O45" s="75">
        <f>N45/N48</f>
        <v>0</v>
      </c>
    </row>
    <row r="46" spans="1:17" x14ac:dyDescent="0.25">
      <c r="A46" s="490" t="s">
        <v>171</v>
      </c>
      <c r="B46" s="491"/>
      <c r="C46" s="491"/>
      <c r="D46" s="492"/>
      <c r="E46" s="6"/>
      <c r="F46" s="6"/>
      <c r="G46" s="6"/>
      <c r="H46" s="6"/>
      <c r="I46" s="6"/>
      <c r="J46" s="6"/>
      <c r="K46" s="6"/>
      <c r="L46" s="25"/>
      <c r="M46" s="49">
        <f t="shared" si="2"/>
        <v>0</v>
      </c>
      <c r="N46" s="6">
        <f t="shared" si="2"/>
        <v>0</v>
      </c>
      <c r="O46" s="75">
        <f>N46/N48</f>
        <v>0</v>
      </c>
    </row>
    <row r="47" spans="1:17" ht="15.75" thickBot="1" x14ac:dyDescent="0.3">
      <c r="A47" s="487" t="s">
        <v>172</v>
      </c>
      <c r="B47" s="488"/>
      <c r="C47" s="488"/>
      <c r="D47" s="489"/>
      <c r="E47" s="50"/>
      <c r="F47" s="50"/>
      <c r="G47" s="50"/>
      <c r="H47" s="50"/>
      <c r="I47" s="50"/>
      <c r="J47" s="50"/>
      <c r="K47" s="50"/>
      <c r="L47" s="51"/>
      <c r="M47" s="52">
        <f t="shared" si="2"/>
        <v>0</v>
      </c>
      <c r="N47" s="50">
        <f t="shared" si="2"/>
        <v>0</v>
      </c>
      <c r="O47" s="76">
        <f>N47/N48</f>
        <v>0</v>
      </c>
      <c r="P47" s="31"/>
      <c r="Q47" s="31"/>
    </row>
    <row r="48" spans="1:17" ht="15.75" thickTop="1" x14ac:dyDescent="0.25">
      <c r="A48" s="493" t="s">
        <v>20</v>
      </c>
      <c r="B48" s="493"/>
      <c r="C48" s="493"/>
      <c r="D48" s="493"/>
      <c r="E48" s="53">
        <f>SUM(E40:E47)</f>
        <v>110</v>
      </c>
      <c r="F48" s="53">
        <f>SUM(F37:F47)</f>
        <v>52163751</v>
      </c>
      <c r="G48" s="53">
        <f>SUM(G37:G47)</f>
        <v>66</v>
      </c>
      <c r="H48" s="53">
        <f>SUM(H37:H47)</f>
        <v>2555464</v>
      </c>
      <c r="I48" s="53">
        <f>SUM(I44:I47)</f>
        <v>69</v>
      </c>
      <c r="J48" s="53">
        <f>SUM(J44:J47)</f>
        <v>21267963</v>
      </c>
      <c r="K48" s="53">
        <f>SUM(K37:K47)</f>
        <v>1</v>
      </c>
      <c r="L48" s="54">
        <f>SUM(L37:L47)</f>
        <v>45392495</v>
      </c>
      <c r="M48" s="55">
        <f>SUM(M37:M47)</f>
        <v>246</v>
      </c>
      <c r="N48" s="53">
        <f>SUM(N37:N47)</f>
        <v>121379673</v>
      </c>
      <c r="O48" s="77">
        <f>SUM(O37:O47)</f>
        <v>1</v>
      </c>
      <c r="P48" s="31"/>
    </row>
    <row r="50" spans="1:12" x14ac:dyDescent="0.25">
      <c r="A50" s="415" t="s">
        <v>601</v>
      </c>
    </row>
    <row r="52" spans="1:12" ht="75" x14ac:dyDescent="0.25">
      <c r="A52" s="494"/>
      <c r="B52" s="494"/>
      <c r="C52" s="494"/>
      <c r="D52" s="494"/>
      <c r="E52" s="494"/>
      <c r="F52" s="494"/>
      <c r="G52" s="244" t="s">
        <v>25</v>
      </c>
      <c r="H52" s="244" t="s">
        <v>26</v>
      </c>
      <c r="I52" s="244" t="s">
        <v>27</v>
      </c>
      <c r="J52" s="244" t="s">
        <v>28</v>
      </c>
      <c r="K52" s="372" t="s">
        <v>496</v>
      </c>
      <c r="L52" s="245" t="s">
        <v>602</v>
      </c>
    </row>
    <row r="53" spans="1:12" x14ac:dyDescent="0.25">
      <c r="A53" s="435" t="s">
        <v>454</v>
      </c>
      <c r="B53" s="435"/>
      <c r="C53" s="435"/>
      <c r="D53" s="435"/>
      <c r="E53" s="435"/>
      <c r="F53" s="435"/>
      <c r="G53" s="6">
        <v>281020028</v>
      </c>
      <c r="H53" s="6">
        <v>22481375</v>
      </c>
      <c r="I53" s="6">
        <v>229558777</v>
      </c>
      <c r="J53" s="6">
        <v>102811677</v>
      </c>
      <c r="K53" s="6">
        <v>100111710</v>
      </c>
      <c r="L53" s="75">
        <f>(K53-J53)/J53</f>
        <v>-2.6261287421661256E-2</v>
      </c>
    </row>
    <row r="54" spans="1:12" x14ac:dyDescent="0.25">
      <c r="A54" s="435" t="s">
        <v>455</v>
      </c>
      <c r="B54" s="435"/>
      <c r="C54" s="435"/>
      <c r="D54" s="435"/>
      <c r="E54" s="435"/>
      <c r="F54" s="435"/>
      <c r="G54" s="6">
        <v>26892277</v>
      </c>
      <c r="H54" s="6">
        <v>27461426</v>
      </c>
      <c r="I54" s="6">
        <v>38944180</v>
      </c>
      <c r="J54" s="6">
        <v>23704458</v>
      </c>
      <c r="K54" s="6">
        <v>21267963</v>
      </c>
      <c r="L54" s="75">
        <f>(K54-J54)/J54</f>
        <v>-0.10278636195773808</v>
      </c>
    </row>
    <row r="55" spans="1:12" x14ac:dyDescent="0.25">
      <c r="A55" s="435" t="s">
        <v>456</v>
      </c>
      <c r="B55" s="435"/>
      <c r="C55" s="435"/>
      <c r="D55" s="435"/>
      <c r="E55" s="435"/>
      <c r="F55" s="435"/>
      <c r="G55" s="6">
        <v>4460635</v>
      </c>
      <c r="H55" s="6">
        <v>325817</v>
      </c>
      <c r="I55" s="6">
        <v>1490641</v>
      </c>
      <c r="J55" s="6">
        <v>571176</v>
      </c>
      <c r="K55" s="6">
        <v>565603</v>
      </c>
      <c r="L55" s="75">
        <f>(K55-J55)/J55</f>
        <v>-9.7570626216787817E-3</v>
      </c>
    </row>
    <row r="56" spans="1:12" x14ac:dyDescent="0.25">
      <c r="A56" s="435" t="s">
        <v>457</v>
      </c>
      <c r="B56" s="435"/>
      <c r="C56" s="435"/>
      <c r="D56" s="435"/>
      <c r="E56" s="435"/>
      <c r="F56" s="435"/>
      <c r="G56" s="6">
        <v>3361535</v>
      </c>
      <c r="H56" s="6">
        <v>2288452</v>
      </c>
      <c r="I56" s="6">
        <v>3894418</v>
      </c>
      <c r="J56" s="6">
        <v>2963057</v>
      </c>
      <c r="K56" s="6">
        <v>308231</v>
      </c>
      <c r="L56" s="75">
        <f>(K56-J56)/J56</f>
        <v>-0.895975338982679</v>
      </c>
    </row>
    <row r="58" spans="1:12" x14ac:dyDescent="0.25">
      <c r="I58" s="31"/>
    </row>
  </sheetData>
  <mergeCells count="43">
    <mergeCell ref="A53:F53"/>
    <mergeCell ref="A52:F52"/>
    <mergeCell ref="A54:F54"/>
    <mergeCell ref="A55:F55"/>
    <mergeCell ref="A56:F56"/>
    <mergeCell ref="A27:C27"/>
    <mergeCell ref="A28:C28"/>
    <mergeCell ref="A29:C29"/>
    <mergeCell ref="A30:C30"/>
    <mergeCell ref="A23:C24"/>
    <mergeCell ref="A25:C25"/>
    <mergeCell ref="J23:L23"/>
    <mergeCell ref="G23:I23"/>
    <mergeCell ref="D23:F23"/>
    <mergeCell ref="A26:C26"/>
    <mergeCell ref="N3:P3"/>
    <mergeCell ref="H3:J3"/>
    <mergeCell ref="B13:E13"/>
    <mergeCell ref="A13:A14"/>
    <mergeCell ref="Q3:Q4"/>
    <mergeCell ref="B3:D3"/>
    <mergeCell ref="E3:G3"/>
    <mergeCell ref="K3:M3"/>
    <mergeCell ref="A3:A4"/>
    <mergeCell ref="K35:L35"/>
    <mergeCell ref="M35:N35"/>
    <mergeCell ref="O35:O36"/>
    <mergeCell ref="A35:D36"/>
    <mergeCell ref="A38:D38"/>
    <mergeCell ref="E35:F35"/>
    <mergeCell ref="G35:H35"/>
    <mergeCell ref="A37:D37"/>
    <mergeCell ref="I35:J35"/>
    <mergeCell ref="A47:D47"/>
    <mergeCell ref="A45:D45"/>
    <mergeCell ref="A41:D41"/>
    <mergeCell ref="A48:D48"/>
    <mergeCell ref="A39:D39"/>
    <mergeCell ref="A42:D42"/>
    <mergeCell ref="A43:D43"/>
    <mergeCell ref="A44:D44"/>
    <mergeCell ref="A46:D46"/>
    <mergeCell ref="A40:D40"/>
  </mergeCells>
  <conditionalFormatting sqref="S11:S13">
    <cfRule type="iconSet" priority="22">
      <iconSet iconSet="3Arrows">
        <cfvo type="percent" val="0"/>
        <cfvo type="percent" val="33"/>
        <cfvo type="percent" val="67"/>
      </iconSet>
    </cfRule>
    <cfRule type="top10" dxfId="8" priority="23" percent="1" rank="10"/>
  </conditionalFormatting>
  <conditionalFormatting sqref="T11:T13">
    <cfRule type="iconSet" priority="24">
      <iconSet iconSet="3Arrows">
        <cfvo type="percent" val="0"/>
        <cfvo type="percent" val="33"/>
        <cfvo type="percent" val="67"/>
      </iconSet>
    </cfRule>
    <cfRule type="top10" dxfId="7" priority="25" percent="1" rank="10"/>
  </conditionalFormatting>
  <conditionalFormatting sqref="U11:U13">
    <cfRule type="iconSet" priority="26">
      <iconSet iconSet="3Arrows">
        <cfvo type="percent" val="0"/>
        <cfvo type="percent" val="33"/>
        <cfvo type="percent" val="67"/>
      </iconSet>
    </cfRule>
    <cfRule type="top10" dxfId="6" priority="27" percent="1" rank="10"/>
  </conditionalFormatting>
  <conditionalFormatting sqref="N5:N9">
    <cfRule type="iconSet" priority="5">
      <iconSet iconSet="3Arrows">
        <cfvo type="percent" val="0"/>
        <cfvo type="percent" val="33"/>
        <cfvo type="percent" val="67"/>
      </iconSet>
    </cfRule>
    <cfRule type="top10" dxfId="5" priority="6" percent="1" rank="10"/>
  </conditionalFormatting>
  <conditionalFormatting sqref="O5:O9">
    <cfRule type="iconSet" priority="3">
      <iconSet iconSet="3Arrows">
        <cfvo type="percent" val="0"/>
        <cfvo type="percent" val="33"/>
        <cfvo type="percent" val="67"/>
      </iconSet>
    </cfRule>
    <cfRule type="top10" dxfId="4" priority="4" percent="1" rank="10"/>
  </conditionalFormatting>
  <conditionalFormatting sqref="P5:P9">
    <cfRule type="iconSet" priority="1">
      <iconSet iconSet="3Arrows">
        <cfvo type="percent" val="0"/>
        <cfvo type="percent" val="33"/>
        <cfvo type="percent" val="67"/>
      </iconSet>
    </cfRule>
    <cfRule type="top10" dxfId="3" priority="2" percent="1" rank="10"/>
  </conditionalFormatting>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3"/>
  <sheetViews>
    <sheetView topLeftCell="A19" workbookViewId="0">
      <selection activeCell="A26" sqref="A26"/>
    </sheetView>
  </sheetViews>
  <sheetFormatPr defaultRowHeight="15" x14ac:dyDescent="0.25"/>
  <cols>
    <col min="3" max="3" width="12" bestFit="1" customWidth="1"/>
    <col min="4" max="4" width="15.5703125" bestFit="1" customWidth="1"/>
    <col min="5" max="5" width="11.140625" bestFit="1" customWidth="1"/>
    <col min="6" max="6" width="9.7109375" bestFit="1" customWidth="1"/>
  </cols>
  <sheetData>
    <row r="1" spans="1:6" x14ac:dyDescent="0.25">
      <c r="A1" s="415" t="s">
        <v>604</v>
      </c>
    </row>
    <row r="3" spans="1:6" ht="60" x14ac:dyDescent="0.25">
      <c r="A3" s="246"/>
      <c r="B3" s="231" t="s">
        <v>150</v>
      </c>
      <c r="C3" s="214" t="s">
        <v>151</v>
      </c>
      <c r="D3" s="214" t="s">
        <v>158</v>
      </c>
      <c r="E3" s="214" t="s">
        <v>160</v>
      </c>
      <c r="F3" s="44"/>
    </row>
    <row r="4" spans="1:6" x14ac:dyDescent="0.25">
      <c r="A4" s="2">
        <v>2012</v>
      </c>
      <c r="B4" s="24"/>
      <c r="C4" s="2">
        <v>71</v>
      </c>
      <c r="D4" s="20">
        <v>307.912305</v>
      </c>
      <c r="E4" s="20">
        <f>D4/C4</f>
        <v>4.3367930281690139</v>
      </c>
      <c r="F4" s="45"/>
    </row>
    <row r="5" spans="1:6" x14ac:dyDescent="0.25">
      <c r="A5" s="2">
        <v>2013</v>
      </c>
      <c r="B5" s="24"/>
      <c r="C5" s="2">
        <v>81</v>
      </c>
      <c r="D5" s="20">
        <v>50.011688999999997</v>
      </c>
      <c r="E5" s="20">
        <f>D5/C5</f>
        <v>0.61742825925925926</v>
      </c>
      <c r="F5" s="45"/>
    </row>
    <row r="6" spans="1:6" x14ac:dyDescent="0.25">
      <c r="A6" s="2">
        <v>2014</v>
      </c>
      <c r="B6" s="24">
        <v>41</v>
      </c>
      <c r="C6" s="2">
        <v>164</v>
      </c>
      <c r="D6" s="20">
        <v>268.50295699999998</v>
      </c>
      <c r="E6" s="20">
        <f>D6/C6</f>
        <v>1.6372131524390243</v>
      </c>
      <c r="F6" s="45"/>
    </row>
    <row r="7" spans="1:6" x14ac:dyDescent="0.25">
      <c r="A7" s="2">
        <v>2015</v>
      </c>
      <c r="B7" s="24">
        <v>43</v>
      </c>
      <c r="C7" s="2">
        <v>188</v>
      </c>
      <c r="D7" s="40">
        <v>126.51613500000001</v>
      </c>
      <c r="E7" s="20">
        <f>D7/C7</f>
        <v>0.67295816489361704</v>
      </c>
      <c r="F7" s="45"/>
    </row>
    <row r="8" spans="1:6" x14ac:dyDescent="0.25">
      <c r="A8" s="135">
        <v>2016</v>
      </c>
      <c r="B8" s="2">
        <v>48</v>
      </c>
      <c r="C8" s="135">
        <v>246</v>
      </c>
      <c r="D8" s="20">
        <v>121.4</v>
      </c>
      <c r="E8" s="40">
        <f>D8/C8</f>
        <v>0.49349593495934962</v>
      </c>
      <c r="F8" s="46"/>
    </row>
    <row r="9" spans="1:6" x14ac:dyDescent="0.25">
      <c r="A9" s="18"/>
      <c r="B9" s="18"/>
      <c r="C9" s="18"/>
      <c r="D9" s="41"/>
      <c r="F9" s="46"/>
    </row>
    <row r="10" spans="1:6" x14ac:dyDescent="0.25">
      <c r="A10" s="18"/>
      <c r="B10" s="18"/>
      <c r="C10" s="18"/>
      <c r="F10" s="47"/>
    </row>
    <row r="11" spans="1:6" x14ac:dyDescent="0.25">
      <c r="A11" s="18"/>
      <c r="B11" s="18"/>
      <c r="C11" s="18"/>
    </row>
    <row r="16" spans="1:6" x14ac:dyDescent="0.25">
      <c r="A16" s="415" t="s">
        <v>149</v>
      </c>
    </row>
    <row r="18" spans="1:7" ht="120" x14ac:dyDescent="0.25">
      <c r="A18" s="247"/>
      <c r="B18" s="248" t="s">
        <v>156</v>
      </c>
      <c r="C18" s="238" t="s">
        <v>162</v>
      </c>
      <c r="G18" s="18"/>
    </row>
    <row r="19" spans="1:7" x14ac:dyDescent="0.25">
      <c r="A19" s="43">
        <v>2012</v>
      </c>
      <c r="B19" s="42">
        <v>0.17100000000000001</v>
      </c>
      <c r="C19" s="20">
        <v>1804.590796</v>
      </c>
      <c r="G19" s="32"/>
    </row>
    <row r="20" spans="1:7" x14ac:dyDescent="0.25">
      <c r="A20" s="43">
        <v>2013</v>
      </c>
      <c r="B20" s="42">
        <v>3.7999999999999999E-2</v>
      </c>
      <c r="C20" s="20">
        <v>1305.1158720000001</v>
      </c>
      <c r="G20" s="32"/>
    </row>
    <row r="21" spans="1:7" x14ac:dyDescent="0.25">
      <c r="A21" s="43">
        <v>2014</v>
      </c>
      <c r="B21" s="42">
        <v>0.16400000000000001</v>
      </c>
      <c r="C21" s="20">
        <v>1632.9772359999999</v>
      </c>
      <c r="G21" s="32"/>
    </row>
    <row r="22" spans="1:7" x14ac:dyDescent="0.25">
      <c r="A22" s="43">
        <v>2015</v>
      </c>
      <c r="B22" s="42">
        <v>9.8000000000000004E-2</v>
      </c>
      <c r="C22" s="20">
        <v>1296.767325</v>
      </c>
      <c r="G22" s="32"/>
    </row>
    <row r="23" spans="1:7" x14ac:dyDescent="0.25">
      <c r="A23" s="340">
        <v>2016</v>
      </c>
      <c r="B23" s="341">
        <v>7.9000000000000001E-2</v>
      </c>
      <c r="C23" s="40">
        <v>1529.6</v>
      </c>
    </row>
    <row r="24" spans="1:7" x14ac:dyDescent="0.25">
      <c r="C24" s="39"/>
    </row>
    <row r="26" spans="1:7" x14ac:dyDescent="0.25">
      <c r="A26" s="415" t="s">
        <v>601</v>
      </c>
    </row>
    <row r="28" spans="1:7" ht="60" x14ac:dyDescent="0.25">
      <c r="A28" s="236"/>
      <c r="B28" s="236" t="s">
        <v>180</v>
      </c>
      <c r="C28" s="236" t="s">
        <v>181</v>
      </c>
      <c r="D28" s="232" t="s">
        <v>182</v>
      </c>
      <c r="E28" s="232" t="s">
        <v>183</v>
      </c>
    </row>
    <row r="29" spans="1:7" x14ac:dyDescent="0.25">
      <c r="A29" s="71" t="s">
        <v>25</v>
      </c>
      <c r="B29" s="72">
        <v>281</v>
      </c>
      <c r="C29" s="72">
        <v>26.9</v>
      </c>
      <c r="D29" s="73">
        <v>1.6E-2</v>
      </c>
      <c r="E29" s="73">
        <v>0.125</v>
      </c>
    </row>
    <row r="30" spans="1:7" x14ac:dyDescent="0.25">
      <c r="A30" s="71" t="s">
        <v>26</v>
      </c>
      <c r="B30" s="72">
        <v>22.5</v>
      </c>
      <c r="C30" s="72">
        <v>27.5</v>
      </c>
      <c r="D30" s="73">
        <v>1.4E-2</v>
      </c>
      <c r="E30" s="73">
        <v>8.3000000000000004E-2</v>
      </c>
    </row>
    <row r="31" spans="1:7" x14ac:dyDescent="0.25">
      <c r="A31" s="71" t="s">
        <v>27</v>
      </c>
      <c r="B31" s="72">
        <v>229.6</v>
      </c>
      <c r="C31" s="72">
        <v>38.9</v>
      </c>
      <c r="D31" s="73">
        <v>6.0000000000000001E-3</v>
      </c>
      <c r="E31" s="73">
        <v>0.1</v>
      </c>
    </row>
    <row r="32" spans="1:7" x14ac:dyDescent="0.25">
      <c r="A32" s="71" t="s">
        <v>28</v>
      </c>
      <c r="B32" s="72">
        <v>102.8</v>
      </c>
      <c r="C32" s="72">
        <v>23.7</v>
      </c>
      <c r="D32" s="73">
        <v>6.0000000000000001E-3</v>
      </c>
      <c r="E32" s="8">
        <v>0.125</v>
      </c>
    </row>
    <row r="33" spans="1:5" x14ac:dyDescent="0.25">
      <c r="A33" s="71" t="s">
        <v>496</v>
      </c>
      <c r="B33" s="72">
        <v>100.1</v>
      </c>
      <c r="C33" s="72">
        <v>21.3</v>
      </c>
      <c r="D33" s="73">
        <v>6.0000000000000001E-3</v>
      </c>
      <c r="E33" s="73">
        <v>1.3999999999999999E-2</v>
      </c>
    </row>
  </sheetData>
  <conditionalFormatting sqref="B4:B11">
    <cfRule type="iconSet" priority="7">
      <iconSet iconSet="3Arrows">
        <cfvo type="percent" val="0"/>
        <cfvo type="percent" val="33"/>
        <cfvo type="percent" val="67"/>
      </iconSet>
    </cfRule>
    <cfRule type="top10" dxfId="2" priority="8" percent="1" rank="10"/>
  </conditionalFormatting>
  <conditionalFormatting sqref="C4:C11">
    <cfRule type="iconSet" priority="5">
      <iconSet iconSet="3Arrows">
        <cfvo type="percent" val="0"/>
        <cfvo type="percent" val="33"/>
        <cfvo type="percent" val="67"/>
      </iconSet>
    </cfRule>
    <cfRule type="top10" dxfId="1" priority="6" percent="1" rank="10"/>
  </conditionalFormatting>
  <conditionalFormatting sqref="D4:D9">
    <cfRule type="iconSet" priority="1">
      <iconSet iconSet="3Arrows">
        <cfvo type="percent" val="0"/>
        <cfvo type="percent" val="33"/>
        <cfvo type="percent" val="67"/>
      </iconSet>
    </cfRule>
    <cfRule type="top10" dxfId="0" priority="2" percent="1" rank="10"/>
  </conditionalFormatting>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58"/>
  <sheetViews>
    <sheetView workbookViewId="0">
      <selection sqref="A1:E1"/>
    </sheetView>
  </sheetViews>
  <sheetFormatPr defaultRowHeight="15" x14ac:dyDescent="0.25"/>
  <cols>
    <col min="1" max="1" width="4.7109375" customWidth="1"/>
    <col min="2" max="2" width="38.28515625" customWidth="1"/>
  </cols>
  <sheetData>
    <row r="1" spans="1:5" x14ac:dyDescent="0.25">
      <c r="A1" s="514" t="s">
        <v>464</v>
      </c>
      <c r="B1" s="514"/>
      <c r="C1" s="514"/>
      <c r="D1" s="514"/>
      <c r="E1" s="514"/>
    </row>
    <row r="3" spans="1:5" x14ac:dyDescent="0.25">
      <c r="A3" s="2" t="s">
        <v>42</v>
      </c>
      <c r="B3" s="26" t="s">
        <v>460</v>
      </c>
    </row>
    <row r="4" spans="1:5" x14ac:dyDescent="0.25">
      <c r="A4" s="2" t="s">
        <v>94</v>
      </c>
      <c r="B4" s="26" t="s">
        <v>50</v>
      </c>
    </row>
    <row r="5" spans="1:5" x14ac:dyDescent="0.25">
      <c r="A5" s="2" t="s">
        <v>95</v>
      </c>
      <c r="B5" s="26" t="s">
        <v>51</v>
      </c>
    </row>
    <row r="6" spans="1:5" x14ac:dyDescent="0.25">
      <c r="A6" s="2" t="s">
        <v>96</v>
      </c>
      <c r="B6" s="27" t="s">
        <v>52</v>
      </c>
    </row>
    <row r="7" spans="1:5" x14ac:dyDescent="0.25">
      <c r="A7" s="2" t="s">
        <v>97</v>
      </c>
      <c r="B7" s="28" t="s">
        <v>53</v>
      </c>
    </row>
    <row r="8" spans="1:5" x14ac:dyDescent="0.25">
      <c r="A8" s="2" t="s">
        <v>98</v>
      </c>
      <c r="B8" s="27" t="s">
        <v>54</v>
      </c>
    </row>
    <row r="9" spans="1:5" x14ac:dyDescent="0.25">
      <c r="A9" s="2" t="s">
        <v>99</v>
      </c>
      <c r="B9" s="26" t="s">
        <v>55</v>
      </c>
    </row>
    <row r="10" spans="1:5" x14ac:dyDescent="0.25">
      <c r="A10" s="2" t="s">
        <v>100</v>
      </c>
      <c r="B10" s="26" t="s">
        <v>148</v>
      </c>
    </row>
    <row r="11" spans="1:5" x14ac:dyDescent="0.25">
      <c r="A11" s="2" t="s">
        <v>101</v>
      </c>
      <c r="B11" s="28" t="s">
        <v>458</v>
      </c>
    </row>
    <row r="12" spans="1:5" x14ac:dyDescent="0.25">
      <c r="A12" s="2" t="s">
        <v>102</v>
      </c>
      <c r="B12" s="27" t="s">
        <v>56</v>
      </c>
    </row>
    <row r="13" spans="1:5" x14ac:dyDescent="0.25">
      <c r="A13" s="2" t="s">
        <v>103</v>
      </c>
      <c r="B13" s="27" t="s">
        <v>57</v>
      </c>
    </row>
    <row r="14" spans="1:5" x14ac:dyDescent="0.25">
      <c r="A14" s="2" t="s">
        <v>104</v>
      </c>
      <c r="B14" s="27" t="s">
        <v>58</v>
      </c>
    </row>
    <row r="15" spans="1:5" x14ac:dyDescent="0.25">
      <c r="A15" s="2" t="s">
        <v>105</v>
      </c>
      <c r="B15" s="27" t="s">
        <v>59</v>
      </c>
    </row>
    <row r="16" spans="1:5" x14ac:dyDescent="0.25">
      <c r="A16" s="2" t="s">
        <v>106</v>
      </c>
      <c r="B16" s="334" t="s">
        <v>461</v>
      </c>
    </row>
    <row r="17" spans="1:2" x14ac:dyDescent="0.25">
      <c r="A17" s="2" t="s">
        <v>107</v>
      </c>
      <c r="B17" s="26" t="s">
        <v>60</v>
      </c>
    </row>
    <row r="18" spans="1:2" x14ac:dyDescent="0.25">
      <c r="A18" s="2" t="s">
        <v>108</v>
      </c>
      <c r="B18" s="29" t="s">
        <v>61</v>
      </c>
    </row>
    <row r="19" spans="1:2" x14ac:dyDescent="0.25">
      <c r="A19" s="2" t="s">
        <v>109</v>
      </c>
      <c r="B19" s="29" t="s">
        <v>62</v>
      </c>
    </row>
    <row r="20" spans="1:2" x14ac:dyDescent="0.25">
      <c r="A20" s="2" t="s">
        <v>110</v>
      </c>
      <c r="B20" s="29" t="s">
        <v>63</v>
      </c>
    </row>
    <row r="21" spans="1:2" x14ac:dyDescent="0.25">
      <c r="A21" s="2" t="s">
        <v>111</v>
      </c>
      <c r="B21" s="26" t="s">
        <v>64</v>
      </c>
    </row>
    <row r="22" spans="1:2" x14ac:dyDescent="0.25">
      <c r="A22" s="2" t="s">
        <v>112</v>
      </c>
      <c r="B22" s="27" t="s">
        <v>65</v>
      </c>
    </row>
    <row r="23" spans="1:2" x14ac:dyDescent="0.25">
      <c r="A23" s="2" t="s">
        <v>113</v>
      </c>
      <c r="B23" s="27" t="s">
        <v>462</v>
      </c>
    </row>
    <row r="24" spans="1:2" x14ac:dyDescent="0.25">
      <c r="A24" s="2" t="s">
        <v>114</v>
      </c>
      <c r="B24" s="26" t="s">
        <v>66</v>
      </c>
    </row>
    <row r="25" spans="1:2" x14ac:dyDescent="0.25">
      <c r="A25" s="2" t="s">
        <v>115</v>
      </c>
      <c r="B25" s="26" t="s">
        <v>67</v>
      </c>
    </row>
    <row r="26" spans="1:2" x14ac:dyDescent="0.25">
      <c r="A26" s="2" t="s">
        <v>116</v>
      </c>
      <c r="B26" s="26" t="s">
        <v>68</v>
      </c>
    </row>
    <row r="27" spans="1:2" x14ac:dyDescent="0.25">
      <c r="A27" s="2" t="s">
        <v>117</v>
      </c>
      <c r="B27" s="26" t="s">
        <v>69</v>
      </c>
    </row>
    <row r="28" spans="1:2" x14ac:dyDescent="0.25">
      <c r="A28" s="2" t="s">
        <v>118</v>
      </c>
      <c r="B28" s="26" t="s">
        <v>70</v>
      </c>
    </row>
    <row r="29" spans="1:2" x14ac:dyDescent="0.25">
      <c r="A29" s="2" t="s">
        <v>119</v>
      </c>
      <c r="B29" s="26" t="s">
        <v>71</v>
      </c>
    </row>
    <row r="30" spans="1:2" x14ac:dyDescent="0.25">
      <c r="A30" s="2" t="s">
        <v>120</v>
      </c>
      <c r="B30" s="26" t="s">
        <v>72</v>
      </c>
    </row>
    <row r="31" spans="1:2" x14ac:dyDescent="0.25">
      <c r="A31" s="2" t="s">
        <v>121</v>
      </c>
      <c r="B31" s="26" t="s">
        <v>73</v>
      </c>
    </row>
    <row r="32" spans="1:2" x14ac:dyDescent="0.25">
      <c r="A32" s="2" t="s">
        <v>122</v>
      </c>
      <c r="B32" s="26" t="s">
        <v>74</v>
      </c>
    </row>
    <row r="33" spans="1:2" x14ac:dyDescent="0.25">
      <c r="A33" s="2" t="s">
        <v>123</v>
      </c>
      <c r="B33" s="26" t="s">
        <v>75</v>
      </c>
    </row>
    <row r="34" spans="1:2" x14ac:dyDescent="0.25">
      <c r="A34" s="2" t="s">
        <v>124</v>
      </c>
      <c r="B34" s="29" t="s">
        <v>76</v>
      </c>
    </row>
    <row r="35" spans="1:2" x14ac:dyDescent="0.25">
      <c r="A35" s="2" t="s">
        <v>125</v>
      </c>
      <c r="B35" s="29" t="s">
        <v>77</v>
      </c>
    </row>
    <row r="36" spans="1:2" x14ac:dyDescent="0.25">
      <c r="A36" s="2" t="s">
        <v>126</v>
      </c>
      <c r="B36" s="27" t="s">
        <v>147</v>
      </c>
    </row>
    <row r="37" spans="1:2" x14ac:dyDescent="0.25">
      <c r="A37" s="2" t="s">
        <v>127</v>
      </c>
      <c r="B37" s="26" t="s">
        <v>78</v>
      </c>
    </row>
    <row r="38" spans="1:2" x14ac:dyDescent="0.25">
      <c r="A38" s="2" t="s">
        <v>128</v>
      </c>
      <c r="B38" s="27" t="s">
        <v>79</v>
      </c>
    </row>
    <row r="39" spans="1:2" x14ac:dyDescent="0.25">
      <c r="A39" s="2" t="s">
        <v>129</v>
      </c>
      <c r="B39" s="27" t="s">
        <v>80</v>
      </c>
    </row>
    <row r="40" spans="1:2" x14ac:dyDescent="0.25">
      <c r="A40" s="2" t="s">
        <v>130</v>
      </c>
      <c r="B40" s="27" t="s">
        <v>81</v>
      </c>
    </row>
    <row r="41" spans="1:2" x14ac:dyDescent="0.25">
      <c r="A41" s="2" t="s">
        <v>131</v>
      </c>
      <c r="B41" s="26" t="s">
        <v>82</v>
      </c>
    </row>
    <row r="42" spans="1:2" x14ac:dyDescent="0.25">
      <c r="A42" s="2" t="s">
        <v>132</v>
      </c>
      <c r="B42" s="26" t="s">
        <v>83</v>
      </c>
    </row>
    <row r="43" spans="1:2" x14ac:dyDescent="0.25">
      <c r="A43" s="2" t="s">
        <v>133</v>
      </c>
      <c r="B43" s="26" t="s">
        <v>84</v>
      </c>
    </row>
    <row r="44" spans="1:2" x14ac:dyDescent="0.25">
      <c r="A44" s="2" t="s">
        <v>134</v>
      </c>
      <c r="B44" s="26" t="s">
        <v>85</v>
      </c>
    </row>
    <row r="45" spans="1:2" x14ac:dyDescent="0.25">
      <c r="A45" s="2" t="s">
        <v>135</v>
      </c>
      <c r="B45" s="26" t="s">
        <v>86</v>
      </c>
    </row>
    <row r="46" spans="1:2" x14ac:dyDescent="0.25">
      <c r="A46" s="2" t="s">
        <v>136</v>
      </c>
      <c r="B46" s="26" t="s">
        <v>87</v>
      </c>
    </row>
    <row r="47" spans="1:2" x14ac:dyDescent="0.25">
      <c r="A47" s="2" t="s">
        <v>137</v>
      </c>
      <c r="B47" s="335" t="s">
        <v>463</v>
      </c>
    </row>
    <row r="48" spans="1:2" x14ac:dyDescent="0.25">
      <c r="A48" s="2" t="s">
        <v>138</v>
      </c>
      <c r="B48" s="26" t="s">
        <v>88</v>
      </c>
    </row>
    <row r="49" spans="1:2" x14ac:dyDescent="0.25">
      <c r="A49" s="2" t="s">
        <v>139</v>
      </c>
      <c r="B49" s="26" t="s">
        <v>89</v>
      </c>
    </row>
    <row r="50" spans="1:2" x14ac:dyDescent="0.25">
      <c r="A50" s="2" t="s">
        <v>140</v>
      </c>
      <c r="B50" s="27" t="s">
        <v>90</v>
      </c>
    </row>
    <row r="51" spans="1:2" x14ac:dyDescent="0.25">
      <c r="A51" s="2" t="s">
        <v>141</v>
      </c>
      <c r="B51" s="27" t="s">
        <v>91</v>
      </c>
    </row>
    <row r="52" spans="1:2" x14ac:dyDescent="0.25">
      <c r="A52" s="2" t="s">
        <v>142</v>
      </c>
      <c r="B52" s="27" t="s">
        <v>92</v>
      </c>
    </row>
    <row r="53" spans="1:2" x14ac:dyDescent="0.25">
      <c r="A53" s="2" t="s">
        <v>143</v>
      </c>
      <c r="B53" s="334" t="s">
        <v>465</v>
      </c>
    </row>
    <row r="54" spans="1:2" x14ac:dyDescent="0.25">
      <c r="A54" s="2" t="s">
        <v>144</v>
      </c>
      <c r="B54" s="27" t="s">
        <v>93</v>
      </c>
    </row>
    <row r="55" spans="1:2" ht="26.25" x14ac:dyDescent="0.25">
      <c r="A55" s="2" t="s">
        <v>145</v>
      </c>
      <c r="B55" s="28" t="s">
        <v>466</v>
      </c>
    </row>
    <row r="56" spans="1:2" x14ac:dyDescent="0.25">
      <c r="A56" s="2" t="s">
        <v>146</v>
      </c>
      <c r="B56" s="27" t="s">
        <v>467</v>
      </c>
    </row>
    <row r="57" spans="1:2" x14ac:dyDescent="0.25">
      <c r="A57" s="2" t="s">
        <v>470</v>
      </c>
      <c r="B57" s="27" t="s">
        <v>468</v>
      </c>
    </row>
    <row r="58" spans="1:2" x14ac:dyDescent="0.25">
      <c r="A58" s="2" t="s">
        <v>471</v>
      </c>
      <c r="B58" s="30" t="s">
        <v>469</v>
      </c>
    </row>
  </sheetData>
  <mergeCells count="1">
    <mergeCell ref="A1:E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34"/>
  <sheetViews>
    <sheetView workbookViewId="0">
      <selection activeCell="M24" sqref="M24"/>
    </sheetView>
  </sheetViews>
  <sheetFormatPr defaultRowHeight="15" x14ac:dyDescent="0.25"/>
  <cols>
    <col min="1" max="1" width="6.140625" customWidth="1"/>
    <col min="2" max="2" width="34.5703125" customWidth="1"/>
    <col min="3" max="3" width="7.140625" customWidth="1"/>
    <col min="4" max="4" width="8.85546875" customWidth="1"/>
    <col min="5" max="5" width="10.85546875" bestFit="1" customWidth="1"/>
    <col min="6" max="6" width="9.85546875" bestFit="1" customWidth="1"/>
    <col min="7" max="8" width="10.85546875" bestFit="1" customWidth="1"/>
  </cols>
  <sheetData>
    <row r="1" spans="1:8" ht="28.5" customHeight="1" x14ac:dyDescent="0.25">
      <c r="A1" s="456" t="s">
        <v>479</v>
      </c>
      <c r="B1" s="456"/>
      <c r="C1" s="456"/>
      <c r="D1" s="456"/>
      <c r="E1" s="456"/>
      <c r="F1" s="456"/>
    </row>
    <row r="3" spans="1:8" ht="120" x14ac:dyDescent="0.25">
      <c r="A3" s="118" t="s">
        <v>238</v>
      </c>
      <c r="B3" s="332" t="s">
        <v>239</v>
      </c>
      <c r="C3" s="119" t="s">
        <v>5</v>
      </c>
      <c r="D3" s="119" t="s">
        <v>480</v>
      </c>
      <c r="E3" s="119" t="s">
        <v>6</v>
      </c>
      <c r="F3" s="119" t="s">
        <v>481</v>
      </c>
    </row>
    <row r="4" spans="1:8" x14ac:dyDescent="0.25">
      <c r="A4" s="74"/>
      <c r="B4" s="133" t="s">
        <v>12</v>
      </c>
      <c r="C4" s="74"/>
      <c r="D4" s="74"/>
      <c r="E4" s="74"/>
      <c r="F4" s="74"/>
      <c r="H4" s="31"/>
    </row>
    <row r="5" spans="1:8" x14ac:dyDescent="0.25">
      <c r="A5" s="2" t="s">
        <v>42</v>
      </c>
      <c r="B5" s="2" t="s">
        <v>240</v>
      </c>
      <c r="C5" s="2">
        <v>2</v>
      </c>
      <c r="D5" s="2">
        <v>2</v>
      </c>
      <c r="E5" s="6">
        <v>5702276</v>
      </c>
      <c r="F5" s="6">
        <f>E5/D5</f>
        <v>2851138</v>
      </c>
    </row>
    <row r="6" spans="1:8" x14ac:dyDescent="0.25">
      <c r="A6" s="2" t="s">
        <v>94</v>
      </c>
      <c r="B6" s="2" t="s">
        <v>241</v>
      </c>
      <c r="C6" s="2">
        <v>3</v>
      </c>
      <c r="D6" s="2">
        <v>3</v>
      </c>
      <c r="E6" s="6">
        <v>2167752</v>
      </c>
      <c r="F6" s="6">
        <f>E6/D6</f>
        <v>722584</v>
      </c>
      <c r="G6" s="31"/>
    </row>
    <row r="7" spans="1:8" x14ac:dyDescent="0.25">
      <c r="A7" s="74"/>
      <c r="B7" s="133" t="s">
        <v>13</v>
      </c>
      <c r="C7" s="74"/>
      <c r="D7" s="74"/>
      <c r="E7" s="134"/>
      <c r="F7" s="134"/>
    </row>
    <row r="8" spans="1:8" x14ac:dyDescent="0.25">
      <c r="A8" s="2" t="s">
        <v>95</v>
      </c>
      <c r="B8" s="2" t="s">
        <v>242</v>
      </c>
      <c r="C8" s="2">
        <v>17</v>
      </c>
      <c r="D8" s="2">
        <v>17</v>
      </c>
      <c r="E8" s="6">
        <v>115838587</v>
      </c>
      <c r="F8" s="6">
        <f>E8/D8</f>
        <v>6814034.5294117648</v>
      </c>
    </row>
    <row r="9" spans="1:8" x14ac:dyDescent="0.25">
      <c r="A9" s="2" t="s">
        <v>96</v>
      </c>
      <c r="B9" s="2" t="s">
        <v>243</v>
      </c>
      <c r="C9" s="2">
        <v>16</v>
      </c>
      <c r="D9" s="2">
        <v>17</v>
      </c>
      <c r="E9" s="6">
        <v>29738468</v>
      </c>
      <c r="F9" s="6">
        <f>E9/D9</f>
        <v>1749321.6470588236</v>
      </c>
    </row>
    <row r="10" spans="1:8" x14ac:dyDescent="0.25">
      <c r="A10" s="2" t="s">
        <v>97</v>
      </c>
      <c r="B10" s="2" t="s">
        <v>244</v>
      </c>
      <c r="C10" s="2">
        <v>13</v>
      </c>
      <c r="D10" s="2">
        <v>18</v>
      </c>
      <c r="E10" s="6">
        <v>143718383</v>
      </c>
      <c r="F10" s="6">
        <f>E10/D10</f>
        <v>7984354.611111111</v>
      </c>
    </row>
    <row r="11" spans="1:8" x14ac:dyDescent="0.25">
      <c r="A11" s="74"/>
      <c r="B11" s="133" t="s">
        <v>14</v>
      </c>
      <c r="C11" s="74"/>
      <c r="D11" s="74"/>
      <c r="E11" s="134"/>
      <c r="F11" s="134"/>
      <c r="G11" s="31"/>
      <c r="H11" s="31"/>
    </row>
    <row r="12" spans="1:8" x14ac:dyDescent="0.25">
      <c r="A12" s="135" t="s">
        <v>98</v>
      </c>
      <c r="B12" s="135" t="s">
        <v>245</v>
      </c>
      <c r="C12" s="2">
        <v>5</v>
      </c>
      <c r="D12" s="2">
        <v>6</v>
      </c>
      <c r="E12" s="6">
        <v>4457918</v>
      </c>
      <c r="F12" s="6">
        <f>E12/D12</f>
        <v>742986.33333333337</v>
      </c>
      <c r="G12" s="31"/>
    </row>
    <row r="13" spans="1:8" x14ac:dyDescent="0.25">
      <c r="A13" s="74"/>
      <c r="B13" s="133" t="s">
        <v>246</v>
      </c>
      <c r="C13" s="74"/>
      <c r="D13" s="74"/>
      <c r="E13" s="134"/>
      <c r="F13" s="134"/>
      <c r="G13" s="31"/>
    </row>
    <row r="14" spans="1:8" x14ac:dyDescent="0.25">
      <c r="A14" s="2" t="s">
        <v>99</v>
      </c>
      <c r="B14" s="2" t="s">
        <v>50</v>
      </c>
      <c r="C14" s="2">
        <v>14</v>
      </c>
      <c r="D14" s="2">
        <v>25</v>
      </c>
      <c r="E14" s="6">
        <v>32782575</v>
      </c>
      <c r="F14" s="6">
        <f>E14/D14</f>
        <v>1311303</v>
      </c>
    </row>
    <row r="15" spans="1:8" x14ac:dyDescent="0.25">
      <c r="A15" s="2" t="s">
        <v>100</v>
      </c>
      <c r="B15" s="2" t="s">
        <v>247</v>
      </c>
      <c r="C15" s="2">
        <v>1</v>
      </c>
      <c r="D15" s="2">
        <v>1</v>
      </c>
      <c r="E15" s="6">
        <v>547891</v>
      </c>
      <c r="F15" s="6">
        <f>E15/D15</f>
        <v>547891</v>
      </c>
    </row>
    <row r="16" spans="1:8" x14ac:dyDescent="0.25">
      <c r="A16" s="2" t="s">
        <v>101</v>
      </c>
      <c r="B16" s="2" t="s">
        <v>472</v>
      </c>
      <c r="C16" s="2">
        <v>1</v>
      </c>
      <c r="D16" s="2">
        <v>1</v>
      </c>
      <c r="E16" s="6">
        <v>2111138</v>
      </c>
      <c r="F16" s="6">
        <f>E16/D16</f>
        <v>2111138</v>
      </c>
      <c r="G16" s="31"/>
      <c r="H16" s="31"/>
    </row>
    <row r="17" spans="1:8" x14ac:dyDescent="0.25">
      <c r="A17" s="74"/>
      <c r="B17" s="133" t="s">
        <v>16</v>
      </c>
      <c r="C17" s="74"/>
      <c r="D17" s="74"/>
      <c r="E17" s="134"/>
      <c r="F17" s="134"/>
    </row>
    <row r="18" spans="1:8" x14ac:dyDescent="0.25">
      <c r="A18" s="2" t="s">
        <v>102</v>
      </c>
      <c r="B18" s="336" t="s">
        <v>473</v>
      </c>
      <c r="C18" s="2">
        <v>2</v>
      </c>
      <c r="D18" s="2">
        <v>4</v>
      </c>
      <c r="E18" s="6">
        <v>11940000</v>
      </c>
      <c r="F18" s="6">
        <f t="shared" ref="F18:F26" si="0">E18/D18</f>
        <v>2985000</v>
      </c>
    </row>
    <row r="19" spans="1:8" x14ac:dyDescent="0.25">
      <c r="A19" s="2" t="s">
        <v>103</v>
      </c>
      <c r="B19" s="135" t="s">
        <v>474</v>
      </c>
      <c r="C19" s="2">
        <v>1</v>
      </c>
      <c r="D19" s="2">
        <v>1</v>
      </c>
      <c r="E19" s="6">
        <v>727000</v>
      </c>
      <c r="F19" s="6">
        <f t="shared" si="0"/>
        <v>727000</v>
      </c>
    </row>
    <row r="20" spans="1:8" x14ac:dyDescent="0.25">
      <c r="A20" s="2" t="s">
        <v>104</v>
      </c>
      <c r="B20" s="2" t="s">
        <v>249</v>
      </c>
      <c r="C20" s="2">
        <v>1</v>
      </c>
      <c r="D20" s="2">
        <v>1</v>
      </c>
      <c r="E20" s="6">
        <v>1800000</v>
      </c>
      <c r="F20" s="6">
        <f t="shared" si="0"/>
        <v>1800000</v>
      </c>
    </row>
    <row r="21" spans="1:8" ht="14.25" customHeight="1" x14ac:dyDescent="0.25">
      <c r="A21" s="2" t="s">
        <v>105</v>
      </c>
      <c r="B21" s="135" t="s">
        <v>252</v>
      </c>
      <c r="C21" s="2">
        <v>1</v>
      </c>
      <c r="D21" s="2">
        <v>1</v>
      </c>
      <c r="E21" s="6">
        <v>1600000</v>
      </c>
      <c r="F21" s="6">
        <f t="shared" si="0"/>
        <v>1600000</v>
      </c>
    </row>
    <row r="22" spans="1:8" x14ac:dyDescent="0.25">
      <c r="A22" s="2" t="s">
        <v>106</v>
      </c>
      <c r="B22" s="336" t="s">
        <v>475</v>
      </c>
      <c r="C22" s="2">
        <v>2</v>
      </c>
      <c r="D22" s="2">
        <v>2</v>
      </c>
      <c r="E22" s="6">
        <v>5944000</v>
      </c>
      <c r="F22" s="6">
        <f t="shared" si="0"/>
        <v>2972000</v>
      </c>
    </row>
    <row r="23" spans="1:8" x14ac:dyDescent="0.25">
      <c r="A23" s="2" t="s">
        <v>107</v>
      </c>
      <c r="B23" s="135" t="s">
        <v>251</v>
      </c>
      <c r="C23" s="2">
        <v>5</v>
      </c>
      <c r="D23" s="2">
        <v>13</v>
      </c>
      <c r="E23" s="6">
        <v>247091147</v>
      </c>
      <c r="F23" s="6">
        <f t="shared" si="0"/>
        <v>19007011.307692308</v>
      </c>
    </row>
    <row r="24" spans="1:8" x14ac:dyDescent="0.25">
      <c r="A24" s="2" t="s">
        <v>108</v>
      </c>
      <c r="B24" s="2" t="s">
        <v>248</v>
      </c>
      <c r="C24" s="2">
        <v>1</v>
      </c>
      <c r="D24" s="2">
        <v>1</v>
      </c>
      <c r="E24" s="6">
        <v>1000000</v>
      </c>
      <c r="F24" s="6">
        <f t="shared" si="0"/>
        <v>1000000</v>
      </c>
    </row>
    <row r="25" spans="1:8" x14ac:dyDescent="0.25">
      <c r="A25" s="135" t="s">
        <v>109</v>
      </c>
      <c r="B25" s="336" t="s">
        <v>476</v>
      </c>
      <c r="C25" s="2">
        <v>1</v>
      </c>
      <c r="D25" s="2">
        <v>1</v>
      </c>
      <c r="E25" s="6">
        <v>2572500</v>
      </c>
      <c r="F25" s="6">
        <f t="shared" si="0"/>
        <v>2572500</v>
      </c>
      <c r="G25" s="31"/>
    </row>
    <row r="26" spans="1:8" x14ac:dyDescent="0.25">
      <c r="A26" s="135" t="s">
        <v>110</v>
      </c>
      <c r="B26" s="135" t="s">
        <v>250</v>
      </c>
      <c r="C26" s="2">
        <v>4</v>
      </c>
      <c r="D26" s="2">
        <v>5</v>
      </c>
      <c r="E26" s="6">
        <v>10369333</v>
      </c>
      <c r="F26" s="6">
        <f t="shared" si="0"/>
        <v>2073866.6</v>
      </c>
      <c r="H26" s="31"/>
    </row>
    <row r="27" spans="1:8" x14ac:dyDescent="0.25">
      <c r="A27" s="74"/>
      <c r="B27" s="133" t="s">
        <v>253</v>
      </c>
      <c r="C27" s="74"/>
      <c r="D27" s="74"/>
      <c r="E27" s="134"/>
      <c r="F27" s="134"/>
    </row>
    <row r="28" spans="1:8" x14ac:dyDescent="0.25">
      <c r="A28" s="135" t="s">
        <v>111</v>
      </c>
      <c r="B28" s="135" t="s">
        <v>254</v>
      </c>
      <c r="C28" s="2">
        <v>2</v>
      </c>
      <c r="D28" s="2">
        <v>20</v>
      </c>
      <c r="E28" s="6">
        <v>10000000</v>
      </c>
      <c r="F28" s="6">
        <f>E28/D28</f>
        <v>500000</v>
      </c>
    </row>
    <row r="29" spans="1:8" x14ac:dyDescent="0.25">
      <c r="A29" s="74"/>
      <c r="B29" s="133" t="s">
        <v>18</v>
      </c>
      <c r="C29" s="74"/>
      <c r="D29" s="74"/>
      <c r="E29" s="134"/>
      <c r="F29" s="134"/>
    </row>
    <row r="30" spans="1:8" x14ac:dyDescent="0.25">
      <c r="A30" s="135" t="s">
        <v>112</v>
      </c>
      <c r="B30" s="135" t="s">
        <v>478</v>
      </c>
      <c r="C30" s="2">
        <v>1</v>
      </c>
      <c r="D30" s="2">
        <v>2</v>
      </c>
      <c r="E30" s="6">
        <v>7016282</v>
      </c>
      <c r="F30" s="6">
        <f>E30/D30</f>
        <v>3508141</v>
      </c>
    </row>
    <row r="31" spans="1:8" ht="30" x14ac:dyDescent="0.25">
      <c r="A31" s="135" t="s">
        <v>113</v>
      </c>
      <c r="B31" s="266" t="s">
        <v>477</v>
      </c>
      <c r="C31" s="2">
        <v>2</v>
      </c>
      <c r="D31" s="2">
        <v>2</v>
      </c>
      <c r="E31" s="6">
        <v>4760725</v>
      </c>
      <c r="F31" s="6">
        <f>E31/D31</f>
        <v>2380362.5</v>
      </c>
      <c r="G31" s="31"/>
    </row>
    <row r="32" spans="1:8" x14ac:dyDescent="0.25">
      <c r="A32" s="74"/>
      <c r="B32" s="133" t="s">
        <v>19</v>
      </c>
      <c r="C32" s="74"/>
      <c r="D32" s="74"/>
      <c r="E32" s="134"/>
      <c r="F32" s="134"/>
    </row>
    <row r="33" spans="1:6" x14ac:dyDescent="0.25">
      <c r="A33" s="2" t="s">
        <v>114</v>
      </c>
      <c r="B33" s="136" t="s">
        <v>255</v>
      </c>
      <c r="C33" s="2">
        <v>3</v>
      </c>
      <c r="D33" s="2">
        <v>3</v>
      </c>
      <c r="E33" s="6">
        <v>6740253</v>
      </c>
      <c r="F33" s="6">
        <f>E33/D33</f>
        <v>2246751</v>
      </c>
    </row>
    <row r="34" spans="1:6" x14ac:dyDescent="0.25">
      <c r="E34" s="31"/>
      <c r="F34" s="31"/>
    </row>
  </sheetData>
  <mergeCells count="1">
    <mergeCell ref="A1:F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2"/>
  <sheetViews>
    <sheetView topLeftCell="A19" workbookViewId="0">
      <selection activeCell="N26" sqref="N26"/>
    </sheetView>
  </sheetViews>
  <sheetFormatPr defaultRowHeight="15" x14ac:dyDescent="0.25"/>
  <cols>
    <col min="1" max="1" width="4" customWidth="1"/>
    <col min="4" max="4" width="18" bestFit="1" customWidth="1"/>
    <col min="5" max="5" width="36.5703125" bestFit="1" customWidth="1"/>
    <col min="6" max="6" width="9.28515625" bestFit="1" customWidth="1"/>
    <col min="13" max="14" width="10" bestFit="1" customWidth="1"/>
    <col min="15" max="15" width="10.85546875" bestFit="1" customWidth="1"/>
  </cols>
  <sheetData>
    <row r="1" spans="1:15" x14ac:dyDescent="0.25">
      <c r="A1" s="16" t="s">
        <v>439</v>
      </c>
    </row>
    <row r="3" spans="1:15" ht="45" customHeight="1" x14ac:dyDescent="0.25">
      <c r="A3" s="2" t="s">
        <v>42</v>
      </c>
      <c r="B3" s="436" t="s">
        <v>612</v>
      </c>
      <c r="C3" s="436"/>
      <c r="D3" s="436"/>
      <c r="E3" s="436"/>
      <c r="F3" s="436"/>
      <c r="G3" s="436"/>
      <c r="H3" s="436"/>
      <c r="I3" s="436"/>
      <c r="J3" s="436"/>
    </row>
    <row r="4" spans="1:15" ht="46.5" customHeight="1" x14ac:dyDescent="0.25">
      <c r="A4" s="2" t="s">
        <v>94</v>
      </c>
      <c r="B4" s="436" t="s">
        <v>632</v>
      </c>
      <c r="C4" s="436"/>
      <c r="D4" s="436"/>
      <c r="E4" s="436"/>
      <c r="F4" s="436"/>
      <c r="G4" s="436"/>
      <c r="H4" s="436"/>
      <c r="I4" s="436"/>
      <c r="J4" s="436"/>
    </row>
    <row r="5" spans="1:15" ht="46.5" customHeight="1" x14ac:dyDescent="0.25">
      <c r="A5" s="2" t="s">
        <v>95</v>
      </c>
      <c r="B5" s="436" t="s">
        <v>613</v>
      </c>
      <c r="C5" s="436"/>
      <c r="D5" s="436"/>
      <c r="E5" s="436"/>
      <c r="F5" s="436"/>
      <c r="G5" s="436"/>
      <c r="H5" s="436"/>
      <c r="I5" s="436"/>
      <c r="J5" s="436"/>
    </row>
    <row r="6" spans="1:15" ht="72" customHeight="1" x14ac:dyDescent="0.25">
      <c r="A6" s="2" t="s">
        <v>96</v>
      </c>
      <c r="B6" s="436" t="s">
        <v>633</v>
      </c>
      <c r="C6" s="436"/>
      <c r="D6" s="436"/>
      <c r="E6" s="436"/>
      <c r="F6" s="436"/>
      <c r="G6" s="436"/>
      <c r="H6" s="436"/>
      <c r="I6" s="436"/>
      <c r="J6" s="436"/>
    </row>
    <row r="7" spans="1:15" ht="73.5" customHeight="1" x14ac:dyDescent="0.25">
      <c r="A7" s="2" t="s">
        <v>97</v>
      </c>
      <c r="B7" s="436" t="s">
        <v>614</v>
      </c>
      <c r="C7" s="436"/>
      <c r="D7" s="436"/>
      <c r="E7" s="436"/>
      <c r="F7" s="436"/>
      <c r="G7" s="436"/>
      <c r="H7" s="436"/>
      <c r="I7" s="436"/>
      <c r="J7" s="436"/>
    </row>
    <row r="8" spans="1:15" ht="79.5" customHeight="1" x14ac:dyDescent="0.25">
      <c r="A8" s="135" t="s">
        <v>98</v>
      </c>
      <c r="B8" s="436" t="s">
        <v>615</v>
      </c>
      <c r="C8" s="436"/>
      <c r="D8" s="436"/>
      <c r="E8" s="436"/>
      <c r="F8" s="436"/>
      <c r="G8" s="436"/>
      <c r="H8" s="436"/>
      <c r="I8" s="436"/>
      <c r="J8" s="436"/>
    </row>
    <row r="9" spans="1:15" ht="90.75" customHeight="1" x14ac:dyDescent="0.25">
      <c r="A9" s="135" t="s">
        <v>99</v>
      </c>
      <c r="B9" s="436" t="s">
        <v>616</v>
      </c>
      <c r="C9" s="436"/>
      <c r="D9" s="436"/>
      <c r="E9" s="436"/>
      <c r="F9" s="436"/>
      <c r="G9" s="436"/>
      <c r="H9" s="436"/>
      <c r="I9" s="436"/>
      <c r="J9" s="436"/>
    </row>
    <row r="10" spans="1:15" ht="50.25" customHeight="1" x14ac:dyDescent="0.25">
      <c r="A10" s="135" t="s">
        <v>100</v>
      </c>
      <c r="B10" s="436" t="s">
        <v>617</v>
      </c>
      <c r="C10" s="436"/>
      <c r="D10" s="436"/>
      <c r="E10" s="436"/>
      <c r="F10" s="436"/>
      <c r="G10" s="436"/>
      <c r="H10" s="436"/>
      <c r="I10" s="436"/>
      <c r="J10" s="436"/>
    </row>
    <row r="11" spans="1:15" ht="32.25" customHeight="1" x14ac:dyDescent="0.25">
      <c r="A11" s="135" t="s">
        <v>101</v>
      </c>
      <c r="B11" s="436" t="s">
        <v>634</v>
      </c>
      <c r="C11" s="436"/>
      <c r="D11" s="436"/>
      <c r="E11" s="436"/>
      <c r="F11" s="436"/>
      <c r="G11" s="436"/>
      <c r="H11" s="436"/>
      <c r="I11" s="436"/>
      <c r="J11" s="436"/>
    </row>
    <row r="12" spans="1:15" ht="77.25" customHeight="1" x14ac:dyDescent="0.25">
      <c r="A12" s="135" t="s">
        <v>102</v>
      </c>
      <c r="B12" s="436" t="s">
        <v>635</v>
      </c>
      <c r="C12" s="436"/>
      <c r="D12" s="436"/>
      <c r="E12" s="436"/>
      <c r="F12" s="436"/>
      <c r="G12" s="436"/>
      <c r="H12" s="436"/>
      <c r="I12" s="436"/>
      <c r="J12" s="436"/>
    </row>
    <row r="13" spans="1:15" ht="75" customHeight="1" x14ac:dyDescent="0.25">
      <c r="A13" s="135" t="s">
        <v>103</v>
      </c>
      <c r="B13" s="436" t="s">
        <v>636</v>
      </c>
      <c r="C13" s="436"/>
      <c r="D13" s="436"/>
      <c r="E13" s="436"/>
      <c r="F13" s="436"/>
      <c r="G13" s="436"/>
      <c r="H13" s="436"/>
      <c r="I13" s="436"/>
      <c r="J13" s="436"/>
      <c r="O13" s="312"/>
    </row>
    <row r="14" spans="1:15" ht="92.25" customHeight="1" x14ac:dyDescent="0.25">
      <c r="A14" s="135" t="s">
        <v>104</v>
      </c>
      <c r="B14" s="436" t="s">
        <v>618</v>
      </c>
      <c r="C14" s="436"/>
      <c r="D14" s="436"/>
      <c r="E14" s="436"/>
      <c r="F14" s="436"/>
      <c r="G14" s="436"/>
      <c r="H14" s="436"/>
      <c r="I14" s="436"/>
      <c r="J14" s="436"/>
    </row>
    <row r="15" spans="1:15" ht="61.5" customHeight="1" x14ac:dyDescent="0.25">
      <c r="A15" s="135" t="s">
        <v>105</v>
      </c>
      <c r="B15" s="436" t="s">
        <v>637</v>
      </c>
      <c r="C15" s="436"/>
      <c r="D15" s="436"/>
      <c r="E15" s="436"/>
      <c r="F15" s="436"/>
      <c r="G15" s="436"/>
      <c r="H15" s="436"/>
      <c r="I15" s="436"/>
      <c r="J15" s="436"/>
    </row>
    <row r="16" spans="1:15" ht="77.25" customHeight="1" x14ac:dyDescent="0.25">
      <c r="A16" s="135" t="s">
        <v>106</v>
      </c>
      <c r="B16" s="516" t="s">
        <v>619</v>
      </c>
      <c r="C16" s="461"/>
      <c r="D16" s="461"/>
      <c r="E16" s="461"/>
      <c r="F16" s="461"/>
      <c r="G16" s="461"/>
      <c r="H16" s="461"/>
      <c r="I16" s="461"/>
      <c r="J16" s="462"/>
      <c r="O16" s="312"/>
    </row>
    <row r="17" spans="1:10" ht="80.25" customHeight="1" x14ac:dyDescent="0.25">
      <c r="A17" s="135" t="s">
        <v>107</v>
      </c>
      <c r="B17" s="436" t="s">
        <v>638</v>
      </c>
      <c r="C17" s="436"/>
      <c r="D17" s="436"/>
      <c r="E17" s="436"/>
      <c r="F17" s="436"/>
      <c r="G17" s="436"/>
      <c r="H17" s="436"/>
      <c r="I17" s="436"/>
      <c r="J17" s="436"/>
    </row>
    <row r="18" spans="1:10" ht="74.25" customHeight="1" x14ac:dyDescent="0.25">
      <c r="A18" s="135" t="s">
        <v>108</v>
      </c>
      <c r="B18" s="515" t="s">
        <v>620</v>
      </c>
      <c r="C18" s="515"/>
      <c r="D18" s="515"/>
      <c r="E18" s="515"/>
      <c r="F18" s="515"/>
      <c r="G18" s="515"/>
      <c r="H18" s="515"/>
      <c r="I18" s="515"/>
      <c r="J18" s="515"/>
    </row>
    <row r="19" spans="1:10" ht="29.25" customHeight="1" x14ac:dyDescent="0.25">
      <c r="A19" s="135" t="s">
        <v>109</v>
      </c>
      <c r="B19" s="436" t="s">
        <v>621</v>
      </c>
      <c r="C19" s="436"/>
      <c r="D19" s="436"/>
      <c r="E19" s="436"/>
      <c r="F19" s="436"/>
      <c r="G19" s="436"/>
      <c r="H19" s="436"/>
      <c r="I19" s="436"/>
      <c r="J19" s="436"/>
    </row>
    <row r="20" spans="1:10" ht="30.75" customHeight="1" x14ac:dyDescent="0.25">
      <c r="A20" s="135" t="s">
        <v>110</v>
      </c>
      <c r="B20" s="436" t="s">
        <v>622</v>
      </c>
      <c r="C20" s="436"/>
      <c r="D20" s="436"/>
      <c r="E20" s="436"/>
      <c r="F20" s="436"/>
      <c r="G20" s="436"/>
      <c r="H20" s="436"/>
      <c r="I20" s="436"/>
      <c r="J20" s="436"/>
    </row>
    <row r="21" spans="1:10" ht="45.75" customHeight="1" x14ac:dyDescent="0.25">
      <c r="A21" s="135" t="s">
        <v>111</v>
      </c>
      <c r="B21" s="436" t="s">
        <v>623</v>
      </c>
      <c r="C21" s="436"/>
      <c r="D21" s="436"/>
      <c r="E21" s="436"/>
      <c r="F21" s="436"/>
      <c r="G21" s="436"/>
      <c r="H21" s="436"/>
      <c r="I21" s="436"/>
      <c r="J21" s="436"/>
    </row>
    <row r="22" spans="1:10" ht="78.75" customHeight="1" x14ac:dyDescent="0.25">
      <c r="A22" s="135" t="s">
        <v>112</v>
      </c>
      <c r="B22" s="436" t="s">
        <v>639</v>
      </c>
      <c r="C22" s="436"/>
      <c r="D22" s="436"/>
      <c r="E22" s="436"/>
      <c r="F22" s="436"/>
      <c r="G22" s="436"/>
      <c r="H22" s="436"/>
      <c r="I22" s="436"/>
      <c r="J22" s="436"/>
    </row>
    <row r="23" spans="1:10" ht="51.75" customHeight="1" x14ac:dyDescent="0.25">
      <c r="A23" s="135" t="s">
        <v>113</v>
      </c>
      <c r="B23" s="515" t="s">
        <v>624</v>
      </c>
      <c r="C23" s="515"/>
      <c r="D23" s="515"/>
      <c r="E23" s="515"/>
      <c r="F23" s="515"/>
      <c r="G23" s="515"/>
      <c r="H23" s="515"/>
      <c r="I23" s="515"/>
      <c r="J23" s="515"/>
    </row>
    <row r="35" spans="4:8" x14ac:dyDescent="0.25">
      <c r="D35" s="413"/>
      <c r="E35" s="19"/>
      <c r="F35" s="19"/>
    </row>
    <row r="36" spans="4:8" x14ac:dyDescent="0.25">
      <c r="D36" s="19"/>
      <c r="E36" s="19"/>
      <c r="F36" s="19"/>
      <c r="G36" s="19"/>
      <c r="H36" s="19"/>
    </row>
    <row r="37" spans="4:8" x14ac:dyDescent="0.25">
      <c r="D37" s="19"/>
      <c r="E37" s="19"/>
      <c r="F37" s="19"/>
    </row>
    <row r="38" spans="4:8" x14ac:dyDescent="0.25">
      <c r="D38" s="19"/>
      <c r="E38" s="19"/>
      <c r="F38" s="19"/>
    </row>
    <row r="39" spans="4:8" x14ac:dyDescent="0.25">
      <c r="D39" s="19"/>
      <c r="E39" s="19"/>
      <c r="F39" s="19"/>
    </row>
    <row r="40" spans="4:8" x14ac:dyDescent="0.25">
      <c r="D40" s="19"/>
      <c r="E40" s="19"/>
      <c r="F40" s="19"/>
    </row>
    <row r="41" spans="4:8" x14ac:dyDescent="0.25">
      <c r="D41" s="413"/>
      <c r="E41" s="413"/>
      <c r="F41" s="413"/>
    </row>
    <row r="42" spans="4:8" x14ac:dyDescent="0.25">
      <c r="D42" s="414"/>
      <c r="E42" s="19"/>
      <c r="F42" s="19"/>
    </row>
  </sheetData>
  <mergeCells count="21">
    <mergeCell ref="B3:J3"/>
    <mergeCell ref="B4:J4"/>
    <mergeCell ref="B5:J5"/>
    <mergeCell ref="B6:J6"/>
    <mergeCell ref="B7:J7"/>
    <mergeCell ref="B8:J8"/>
    <mergeCell ref="B9:J9"/>
    <mergeCell ref="B10:J10"/>
    <mergeCell ref="B11:J11"/>
    <mergeCell ref="B23:J23"/>
    <mergeCell ref="B12:J12"/>
    <mergeCell ref="B20:J20"/>
    <mergeCell ref="B21:J21"/>
    <mergeCell ref="B22:J22"/>
    <mergeCell ref="B17:J17"/>
    <mergeCell ref="B18:J18"/>
    <mergeCell ref="B19:J19"/>
    <mergeCell ref="B13:J13"/>
    <mergeCell ref="B14:J14"/>
    <mergeCell ref="B15:J15"/>
    <mergeCell ref="B16:J1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4"/>
  <sheetViews>
    <sheetView workbookViewId="0">
      <selection activeCell="M19" sqref="M19"/>
    </sheetView>
  </sheetViews>
  <sheetFormatPr defaultRowHeight="15" x14ac:dyDescent="0.25"/>
  <cols>
    <col min="1" max="1" width="4.140625" customWidth="1"/>
  </cols>
  <sheetData>
    <row r="1" spans="1:10" ht="32.25" customHeight="1" x14ac:dyDescent="0.25">
      <c r="A1" s="423" t="s">
        <v>484</v>
      </c>
      <c r="B1" s="423"/>
      <c r="C1" s="423"/>
      <c r="D1" s="423"/>
      <c r="E1" s="423"/>
      <c r="F1" s="423"/>
      <c r="G1" s="423"/>
      <c r="H1" s="423"/>
      <c r="I1" s="423"/>
      <c r="J1" s="423"/>
    </row>
    <row r="3" spans="1:10" x14ac:dyDescent="0.25">
      <c r="A3" s="16" t="s">
        <v>402</v>
      </c>
    </row>
    <row r="5" spans="1:10" x14ac:dyDescent="0.25">
      <c r="A5" s="290" t="s">
        <v>403</v>
      </c>
      <c r="B5" s="290" t="s">
        <v>404</v>
      </c>
      <c r="C5" s="290"/>
      <c r="D5" s="290"/>
      <c r="E5" s="290"/>
      <c r="F5" s="290"/>
      <c r="G5" s="290"/>
      <c r="H5" s="290"/>
    </row>
    <row r="6" spans="1:10" x14ac:dyDescent="0.25">
      <c r="C6" s="290" t="s">
        <v>485</v>
      </c>
      <c r="D6" s="290"/>
    </row>
    <row r="7" spans="1:10" x14ac:dyDescent="0.25">
      <c r="A7" s="102" t="s">
        <v>405</v>
      </c>
      <c r="B7" s="102" t="s">
        <v>625</v>
      </c>
      <c r="C7" s="102"/>
      <c r="D7" s="102"/>
      <c r="E7" s="102"/>
      <c r="F7" s="102"/>
      <c r="G7" s="102"/>
      <c r="H7" s="102"/>
      <c r="I7" s="102"/>
      <c r="J7" s="102"/>
    </row>
    <row r="8" spans="1:10" x14ac:dyDescent="0.25">
      <c r="C8" s="102" t="s">
        <v>412</v>
      </c>
      <c r="D8" s="102"/>
      <c r="E8" s="102"/>
      <c r="F8" s="102"/>
    </row>
    <row r="9" spans="1:10" x14ac:dyDescent="0.25">
      <c r="C9" s="102" t="s">
        <v>438</v>
      </c>
      <c r="D9" s="102"/>
      <c r="E9" s="102"/>
      <c r="F9" s="102"/>
    </row>
    <row r="10" spans="1:10" x14ac:dyDescent="0.25">
      <c r="A10" s="250" t="s">
        <v>365</v>
      </c>
      <c r="B10" s="250" t="s">
        <v>366</v>
      </c>
      <c r="C10" s="250"/>
      <c r="D10" s="250"/>
      <c r="E10" s="250"/>
      <c r="F10" s="250"/>
    </row>
    <row r="11" spans="1:10" x14ac:dyDescent="0.25">
      <c r="C11" s="250" t="s">
        <v>486</v>
      </c>
      <c r="D11" s="250"/>
      <c r="E11" s="250"/>
      <c r="F11" s="250"/>
    </row>
    <row r="12" spans="1:10" x14ac:dyDescent="0.25">
      <c r="C12" s="250" t="s">
        <v>413</v>
      </c>
      <c r="D12" s="250"/>
      <c r="E12" s="250"/>
      <c r="F12" s="250"/>
    </row>
    <row r="13" spans="1:10" x14ac:dyDescent="0.25">
      <c r="C13" s="250" t="s">
        <v>414</v>
      </c>
      <c r="D13" s="250"/>
      <c r="E13" s="250"/>
      <c r="F13" s="250"/>
    </row>
    <row r="14" spans="1:10" x14ac:dyDescent="0.25">
      <c r="C14" s="250" t="s">
        <v>443</v>
      </c>
      <c r="D14" s="250"/>
      <c r="E14" s="250"/>
      <c r="F14" s="250"/>
    </row>
    <row r="15" spans="1:10" x14ac:dyDescent="0.25">
      <c r="C15" s="250" t="s">
        <v>415</v>
      </c>
      <c r="D15" s="250"/>
      <c r="E15" s="250"/>
      <c r="F15" s="250"/>
    </row>
    <row r="16" spans="1:10" x14ac:dyDescent="0.25">
      <c r="C16" s="250" t="s">
        <v>416</v>
      </c>
      <c r="D16" s="250"/>
      <c r="E16" s="250"/>
      <c r="F16" s="250"/>
    </row>
    <row r="17" spans="1:10" x14ac:dyDescent="0.25">
      <c r="C17" s="250" t="s">
        <v>417</v>
      </c>
      <c r="D17" s="250"/>
      <c r="E17" s="250"/>
      <c r="F17" s="250"/>
    </row>
    <row r="18" spans="1:10" x14ac:dyDescent="0.25">
      <c r="A18" s="291" t="s">
        <v>360</v>
      </c>
      <c r="B18" s="291" t="s">
        <v>361</v>
      </c>
      <c r="C18" s="291"/>
      <c r="D18" s="291"/>
      <c r="E18" s="291"/>
      <c r="F18" s="291"/>
    </row>
    <row r="19" spans="1:10" x14ac:dyDescent="0.25">
      <c r="C19" s="291" t="s">
        <v>418</v>
      </c>
      <c r="D19" s="291"/>
    </row>
    <row r="20" spans="1:10" x14ac:dyDescent="0.25">
      <c r="C20" s="291" t="s">
        <v>419</v>
      </c>
      <c r="D20" s="291"/>
    </row>
    <row r="21" spans="1:10" x14ac:dyDescent="0.25">
      <c r="A21" s="249" t="s">
        <v>362</v>
      </c>
      <c r="B21" s="249" t="s">
        <v>43</v>
      </c>
      <c r="C21" s="249"/>
      <c r="D21" s="249"/>
      <c r="E21" s="249"/>
      <c r="F21" s="249"/>
      <c r="G21" s="249"/>
      <c r="H21" s="249"/>
    </row>
    <row r="22" spans="1:10" x14ac:dyDescent="0.25">
      <c r="C22" s="249" t="s">
        <v>420</v>
      </c>
      <c r="D22" s="249"/>
    </row>
    <row r="23" spans="1:10" x14ac:dyDescent="0.25">
      <c r="C23" s="249" t="s">
        <v>421</v>
      </c>
      <c r="D23" s="249"/>
    </row>
    <row r="24" spans="1:10" x14ac:dyDescent="0.25">
      <c r="A24" t="s">
        <v>422</v>
      </c>
      <c r="B24" t="s">
        <v>363</v>
      </c>
    </row>
    <row r="25" spans="1:10" x14ac:dyDescent="0.25">
      <c r="B25" t="s">
        <v>364</v>
      </c>
    </row>
    <row r="26" spans="1:10" x14ac:dyDescent="0.25">
      <c r="A26" t="s">
        <v>459</v>
      </c>
      <c r="B26" t="s">
        <v>439</v>
      </c>
    </row>
    <row r="28" spans="1:10" x14ac:dyDescent="0.25">
      <c r="A28" s="16" t="s">
        <v>406</v>
      </c>
    </row>
    <row r="30" spans="1:10" ht="177" customHeight="1" x14ac:dyDescent="0.25">
      <c r="A30" s="422" t="s">
        <v>410</v>
      </c>
      <c r="B30" s="422"/>
      <c r="C30" s="422" t="s">
        <v>487</v>
      </c>
      <c r="D30" s="422"/>
      <c r="E30" s="422"/>
      <c r="F30" s="422"/>
      <c r="G30" s="422"/>
      <c r="H30" s="422"/>
      <c r="I30" s="422"/>
      <c r="J30" s="422"/>
    </row>
    <row r="31" spans="1:10" ht="134.25" customHeight="1" x14ac:dyDescent="0.25">
      <c r="A31" s="422" t="s">
        <v>409</v>
      </c>
      <c r="B31" s="422"/>
      <c r="C31" s="422" t="s">
        <v>626</v>
      </c>
      <c r="D31" s="422"/>
      <c r="E31" s="422"/>
      <c r="F31" s="422"/>
      <c r="G31" s="422"/>
      <c r="H31" s="422"/>
      <c r="I31" s="422"/>
      <c r="J31" s="422"/>
    </row>
    <row r="32" spans="1:10" ht="47.25" customHeight="1" x14ac:dyDescent="0.25">
      <c r="A32" s="422" t="s">
        <v>408</v>
      </c>
      <c r="B32" s="422"/>
      <c r="C32" s="422" t="s">
        <v>627</v>
      </c>
      <c r="D32" s="422"/>
      <c r="E32" s="422"/>
      <c r="F32" s="422"/>
      <c r="G32" s="422"/>
      <c r="H32" s="422"/>
      <c r="I32" s="422"/>
      <c r="J32" s="422"/>
    </row>
    <row r="33" spans="1:10" ht="33.75" customHeight="1" x14ac:dyDescent="0.25">
      <c r="A33" s="424" t="s">
        <v>444</v>
      </c>
      <c r="B33" s="424"/>
      <c r="C33" s="422" t="s">
        <v>411</v>
      </c>
      <c r="D33" s="422"/>
      <c r="E33" s="422"/>
      <c r="F33" s="422"/>
      <c r="G33" s="422"/>
      <c r="H33" s="422"/>
      <c r="I33" s="422"/>
      <c r="J33" s="422"/>
    </row>
    <row r="34" spans="1:10" ht="239.25" customHeight="1" x14ac:dyDescent="0.25">
      <c r="A34" s="422" t="s">
        <v>407</v>
      </c>
      <c r="B34" s="422"/>
      <c r="C34" s="422" t="s">
        <v>488</v>
      </c>
      <c r="D34" s="422"/>
      <c r="E34" s="422"/>
      <c r="F34" s="422"/>
      <c r="G34" s="422"/>
      <c r="H34" s="422"/>
      <c r="I34" s="422"/>
      <c r="J34" s="422"/>
    </row>
  </sheetData>
  <mergeCells count="11">
    <mergeCell ref="C34:J34"/>
    <mergeCell ref="A1:J1"/>
    <mergeCell ref="A30:B30"/>
    <mergeCell ref="A31:B31"/>
    <mergeCell ref="A32:B32"/>
    <mergeCell ref="A33:B33"/>
    <mergeCell ref="A34:B34"/>
    <mergeCell ref="C30:J30"/>
    <mergeCell ref="C31:J31"/>
    <mergeCell ref="C32:J32"/>
    <mergeCell ref="C33:J3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8"/>
  <sheetViews>
    <sheetView topLeftCell="A28" workbookViewId="0">
      <selection activeCell="U36" sqref="U36"/>
    </sheetView>
  </sheetViews>
  <sheetFormatPr defaultRowHeight="15" x14ac:dyDescent="0.25"/>
  <cols>
    <col min="1" max="1" width="21.85546875" customWidth="1"/>
    <col min="2" max="2" width="10.7109375" customWidth="1"/>
    <col min="3" max="5" width="10.85546875" bestFit="1" customWidth="1"/>
    <col min="6" max="6" width="12.140625" customWidth="1"/>
    <col min="7" max="7" width="10.85546875" bestFit="1" customWidth="1"/>
    <col min="8" max="8" width="12.5703125" customWidth="1"/>
    <col min="9" max="9" width="12.28515625" bestFit="1" customWidth="1"/>
    <col min="10" max="10" width="13.28515625" bestFit="1" customWidth="1"/>
  </cols>
  <sheetData>
    <row r="1" spans="1:12" x14ac:dyDescent="0.25">
      <c r="A1" s="426" t="s">
        <v>0</v>
      </c>
      <c r="B1" s="426"/>
      <c r="C1" s="426"/>
      <c r="D1" s="426"/>
      <c r="E1" s="426"/>
      <c r="F1" s="426"/>
      <c r="G1" s="426"/>
      <c r="H1" s="426"/>
      <c r="I1" s="426"/>
      <c r="J1" s="426"/>
      <c r="K1" s="426"/>
      <c r="L1" s="426"/>
    </row>
    <row r="3" spans="1:12" ht="29.25" customHeight="1" x14ac:dyDescent="0.25">
      <c r="A3" s="425" t="s">
        <v>1</v>
      </c>
      <c r="B3" s="425" t="s">
        <v>2</v>
      </c>
      <c r="C3" s="428" t="s">
        <v>3</v>
      </c>
      <c r="D3" s="428"/>
      <c r="E3" s="428"/>
      <c r="F3" s="428" t="s">
        <v>7</v>
      </c>
      <c r="G3" s="428"/>
      <c r="H3" s="428"/>
      <c r="I3" s="425" t="s">
        <v>11</v>
      </c>
      <c r="J3" s="425"/>
    </row>
    <row r="4" spans="1:12" ht="45" x14ac:dyDescent="0.25">
      <c r="A4" s="425"/>
      <c r="B4" s="425"/>
      <c r="C4" s="427" t="s">
        <v>4</v>
      </c>
      <c r="D4" s="427"/>
      <c r="E4" s="427"/>
      <c r="F4" s="1" t="s">
        <v>8</v>
      </c>
      <c r="G4" s="428" t="s">
        <v>9</v>
      </c>
      <c r="H4" s="428"/>
      <c r="I4" s="425"/>
      <c r="J4" s="425"/>
    </row>
    <row r="5" spans="1:12" ht="75" x14ac:dyDescent="0.25">
      <c r="A5" s="425"/>
      <c r="B5" s="425"/>
      <c r="C5" s="1" t="s">
        <v>40</v>
      </c>
      <c r="D5" s="1" t="s">
        <v>440</v>
      </c>
      <c r="E5" s="1" t="s">
        <v>6</v>
      </c>
      <c r="F5" s="1" t="s">
        <v>6</v>
      </c>
      <c r="G5" s="1" t="s">
        <v>41</v>
      </c>
      <c r="H5" s="1" t="s">
        <v>6</v>
      </c>
      <c r="I5" s="1" t="s">
        <v>6</v>
      </c>
      <c r="J5" s="1" t="s">
        <v>10</v>
      </c>
    </row>
    <row r="6" spans="1:12" x14ac:dyDescent="0.25">
      <c r="A6" s="2" t="s">
        <v>12</v>
      </c>
      <c r="B6" s="2">
        <v>64</v>
      </c>
      <c r="C6" s="2">
        <v>5</v>
      </c>
      <c r="D6" s="10" t="s">
        <v>490</v>
      </c>
      <c r="E6" s="6">
        <v>7870028</v>
      </c>
      <c r="F6" s="6">
        <v>69673241</v>
      </c>
      <c r="G6" s="2">
        <v>114</v>
      </c>
      <c r="H6" s="6">
        <v>52163751</v>
      </c>
      <c r="I6" s="6">
        <f>E6+F6+H6</f>
        <v>129707020</v>
      </c>
      <c r="J6" s="8">
        <f>I6/I14</f>
        <v>8.4797290652354682E-2</v>
      </c>
    </row>
    <row r="7" spans="1:12" x14ac:dyDescent="0.25">
      <c r="A7" s="2" t="s">
        <v>13</v>
      </c>
      <c r="B7" s="2">
        <v>4</v>
      </c>
      <c r="C7" s="2">
        <v>46</v>
      </c>
      <c r="D7" s="10" t="s">
        <v>491</v>
      </c>
      <c r="E7" s="6">
        <v>289295438</v>
      </c>
      <c r="F7" s="6">
        <v>444456538</v>
      </c>
      <c r="G7" s="2">
        <v>1</v>
      </c>
      <c r="H7" s="6">
        <v>45392495</v>
      </c>
      <c r="I7" s="6">
        <f>E7+F7+H7</f>
        <v>779144471</v>
      </c>
      <c r="J7" s="8">
        <f>I7/I14</f>
        <v>0.50937366510742543</v>
      </c>
    </row>
    <row r="8" spans="1:12" x14ac:dyDescent="0.25">
      <c r="A8" s="2" t="s">
        <v>14</v>
      </c>
      <c r="B8" s="2">
        <v>101</v>
      </c>
      <c r="C8" s="2">
        <v>5</v>
      </c>
      <c r="D8" s="10" t="s">
        <v>492</v>
      </c>
      <c r="E8" s="6">
        <v>4457918</v>
      </c>
      <c r="F8" s="6">
        <v>61183938</v>
      </c>
      <c r="G8" s="2">
        <v>65</v>
      </c>
      <c r="H8" s="6">
        <v>2555464</v>
      </c>
      <c r="I8" s="6">
        <f>E8+F8+H8</f>
        <v>68197320</v>
      </c>
      <c r="J8" s="8">
        <f>I8/I14</f>
        <v>4.4584695306018447E-2</v>
      </c>
    </row>
    <row r="9" spans="1:12" x14ac:dyDescent="0.25">
      <c r="A9" s="2" t="s">
        <v>15</v>
      </c>
      <c r="B9" s="2">
        <v>4</v>
      </c>
      <c r="C9" s="2">
        <v>16</v>
      </c>
      <c r="D9" s="10" t="s">
        <v>493</v>
      </c>
      <c r="E9" s="6">
        <v>35441604</v>
      </c>
      <c r="F9" s="6">
        <v>81989872</v>
      </c>
      <c r="G9" s="2">
        <v>8</v>
      </c>
      <c r="H9" s="6">
        <v>21267963</v>
      </c>
      <c r="I9" s="6">
        <f>E9+F9+H9</f>
        <v>138699439</v>
      </c>
      <c r="J9" s="8">
        <f>I9/I14</f>
        <v>9.0676176526155158E-2</v>
      </c>
    </row>
    <row r="10" spans="1:12" x14ac:dyDescent="0.25">
      <c r="A10" s="2" t="s">
        <v>16</v>
      </c>
      <c r="B10" s="2">
        <v>40</v>
      </c>
      <c r="C10" s="2">
        <v>18</v>
      </c>
      <c r="D10" s="11" t="s">
        <v>494</v>
      </c>
      <c r="E10" s="6">
        <v>283043980</v>
      </c>
      <c r="F10" s="6">
        <v>63039952</v>
      </c>
      <c r="G10" s="2">
        <v>0</v>
      </c>
      <c r="H10" s="6">
        <v>0</v>
      </c>
      <c r="I10" s="6">
        <f>E10+F10</f>
        <v>346083932</v>
      </c>
      <c r="J10" s="8">
        <f>I10/I14</f>
        <v>0.22625590944818372</v>
      </c>
    </row>
    <row r="11" spans="1:12" x14ac:dyDescent="0.25">
      <c r="A11" s="2" t="s">
        <v>17</v>
      </c>
      <c r="B11" s="2">
        <v>1</v>
      </c>
      <c r="C11" s="2">
        <v>2</v>
      </c>
      <c r="D11" s="10" t="s">
        <v>501</v>
      </c>
      <c r="E11" s="6">
        <v>10000000</v>
      </c>
      <c r="F11" s="6">
        <v>4774592</v>
      </c>
      <c r="G11" s="2">
        <v>0</v>
      </c>
      <c r="H11" s="6">
        <v>0</v>
      </c>
      <c r="I11" s="6">
        <f>E11+F11</f>
        <v>14774592</v>
      </c>
      <c r="J11" s="8">
        <f>I11/I14</f>
        <v>9.6590405985270047E-3</v>
      </c>
    </row>
    <row r="12" spans="1:12" x14ac:dyDescent="0.25">
      <c r="A12" s="2" t="s">
        <v>18</v>
      </c>
      <c r="B12" s="2">
        <v>11</v>
      </c>
      <c r="C12" s="2">
        <v>3</v>
      </c>
      <c r="D12" s="338" t="s">
        <v>502</v>
      </c>
      <c r="E12" s="6">
        <v>11777007</v>
      </c>
      <c r="F12" s="6">
        <v>24576754</v>
      </c>
      <c r="G12" s="2">
        <v>0</v>
      </c>
      <c r="H12" s="6">
        <v>0</v>
      </c>
      <c r="I12" s="6">
        <f>E12+F12</f>
        <v>36353761</v>
      </c>
      <c r="J12" s="8">
        <f>I12/I14</f>
        <v>2.3766642991437444E-2</v>
      </c>
    </row>
    <row r="13" spans="1:12" x14ac:dyDescent="0.25">
      <c r="A13" s="2" t="s">
        <v>19</v>
      </c>
      <c r="B13" s="2">
        <v>3</v>
      </c>
      <c r="C13" s="2">
        <v>3</v>
      </c>
      <c r="D13" s="338" t="s">
        <v>503</v>
      </c>
      <c r="E13" s="6">
        <v>6740253</v>
      </c>
      <c r="F13" s="6">
        <v>9911998</v>
      </c>
      <c r="G13" s="2">
        <v>0</v>
      </c>
      <c r="H13" s="6">
        <v>0</v>
      </c>
      <c r="I13" s="6">
        <f>E13+F13</f>
        <v>16652251</v>
      </c>
      <c r="J13" s="8">
        <f>I13/I14</f>
        <v>1.0886579369898128E-2</v>
      </c>
    </row>
    <row r="14" spans="1:12" x14ac:dyDescent="0.25">
      <c r="A14" s="3" t="s">
        <v>20</v>
      </c>
      <c r="B14" s="5">
        <f>SUM(B6:B13)</f>
        <v>228</v>
      </c>
      <c r="C14" s="5">
        <f>SUM(C6:C13)</f>
        <v>98</v>
      </c>
      <c r="D14" s="3" t="s">
        <v>504</v>
      </c>
      <c r="E14" s="7">
        <f t="shared" ref="E14:J14" si="0">SUM(E6:E13)</f>
        <v>648626228</v>
      </c>
      <c r="F14" s="7">
        <f t="shared" si="0"/>
        <v>759606885</v>
      </c>
      <c r="G14" s="5">
        <f t="shared" si="0"/>
        <v>188</v>
      </c>
      <c r="H14" s="7">
        <f t="shared" si="0"/>
        <v>121379673</v>
      </c>
      <c r="I14" s="7">
        <f t="shared" si="0"/>
        <v>1529612786</v>
      </c>
      <c r="J14" s="9">
        <f t="shared" si="0"/>
        <v>1</v>
      </c>
    </row>
    <row r="15" spans="1:12" x14ac:dyDescent="0.25">
      <c r="D15" s="292"/>
    </row>
    <row r="16" spans="1:12" x14ac:dyDescent="0.25">
      <c r="D16" s="292"/>
      <c r="I16" s="31"/>
    </row>
    <row r="17" spans="1:12" x14ac:dyDescent="0.25">
      <c r="A17" s="16" t="s">
        <v>489</v>
      </c>
    </row>
    <row r="18" spans="1:12" x14ac:dyDescent="0.25">
      <c r="I18" s="18"/>
      <c r="J18" s="18"/>
      <c r="K18" s="18"/>
      <c r="L18" s="18"/>
    </row>
    <row r="19" spans="1:12" ht="36" customHeight="1" x14ac:dyDescent="0.25">
      <c r="A19" s="425" t="s">
        <v>29</v>
      </c>
      <c r="B19" s="429" t="s">
        <v>30</v>
      </c>
      <c r="C19" s="430"/>
      <c r="D19" s="425" t="s">
        <v>31</v>
      </c>
      <c r="E19" s="425"/>
      <c r="F19" s="431" t="s">
        <v>9</v>
      </c>
      <c r="G19" s="431"/>
      <c r="H19" s="431" t="s">
        <v>34</v>
      </c>
      <c r="I19" s="295"/>
      <c r="J19" s="46"/>
      <c r="K19" s="296"/>
      <c r="L19" s="46"/>
    </row>
    <row r="20" spans="1:12" ht="150" x14ac:dyDescent="0.25">
      <c r="A20" s="425"/>
      <c r="B20" s="288" t="s">
        <v>6</v>
      </c>
      <c r="C20" s="288" t="s">
        <v>33</v>
      </c>
      <c r="D20" s="288" t="s">
        <v>6</v>
      </c>
      <c r="E20" s="288" t="s">
        <v>33</v>
      </c>
      <c r="F20" s="288" t="s">
        <v>6</v>
      </c>
      <c r="G20" s="288" t="s">
        <v>33</v>
      </c>
      <c r="H20" s="431"/>
      <c r="I20" s="46"/>
      <c r="J20" s="296"/>
      <c r="K20" s="296"/>
      <c r="L20" s="46"/>
    </row>
    <row r="21" spans="1:12" x14ac:dyDescent="0.25">
      <c r="A21" s="2" t="s">
        <v>12</v>
      </c>
      <c r="B21" s="6">
        <v>7870028</v>
      </c>
      <c r="C21" s="293">
        <f t="shared" ref="C21:C29" si="1">B21/H21</f>
        <v>6.0675420651866027E-2</v>
      </c>
      <c r="D21" s="6">
        <v>69673241</v>
      </c>
      <c r="E21" s="8">
        <f t="shared" ref="E21:E29" si="2">D21/H21</f>
        <v>0.53715859789238851</v>
      </c>
      <c r="F21" s="33">
        <v>52163751</v>
      </c>
      <c r="G21" s="8">
        <f t="shared" ref="G21:G29" si="3">F21/H21</f>
        <v>0.40216598145574539</v>
      </c>
      <c r="H21" s="33">
        <f>B21+D21+F21</f>
        <v>129707020</v>
      </c>
      <c r="I21" s="46"/>
      <c r="J21" s="46"/>
      <c r="K21" s="297"/>
      <c r="L21" s="46"/>
    </row>
    <row r="22" spans="1:12" x14ac:dyDescent="0.25">
      <c r="A22" s="2" t="s">
        <v>13</v>
      </c>
      <c r="B22" s="6">
        <v>289295438</v>
      </c>
      <c r="C22" s="293">
        <f t="shared" si="1"/>
        <v>0.37129883964741628</v>
      </c>
      <c r="D22" s="6">
        <v>444456538</v>
      </c>
      <c r="E22" s="8">
        <f t="shared" si="2"/>
        <v>0.57044175315722678</v>
      </c>
      <c r="F22" s="33">
        <v>45392495</v>
      </c>
      <c r="G22" s="8">
        <f t="shared" si="3"/>
        <v>5.8259407195356973E-2</v>
      </c>
      <c r="H22" s="33">
        <v>779144471</v>
      </c>
      <c r="I22" s="46"/>
      <c r="J22" s="46"/>
      <c r="K22" s="297"/>
      <c r="L22" s="46"/>
    </row>
    <row r="23" spans="1:12" x14ac:dyDescent="0.25">
      <c r="A23" s="2" t="s">
        <v>14</v>
      </c>
      <c r="B23" s="6">
        <v>4457918</v>
      </c>
      <c r="C23" s="293">
        <f t="shared" si="1"/>
        <v>6.5367935279568176E-2</v>
      </c>
      <c r="D23" s="6">
        <v>61183938</v>
      </c>
      <c r="E23" s="8">
        <f t="shared" si="2"/>
        <v>0.8971604456010881</v>
      </c>
      <c r="F23" s="33">
        <v>2555464</v>
      </c>
      <c r="G23" s="8">
        <f t="shared" si="3"/>
        <v>3.7471619119343692E-2</v>
      </c>
      <c r="H23" s="33">
        <v>68197320</v>
      </c>
      <c r="I23" s="46"/>
      <c r="J23" s="46"/>
      <c r="K23" s="297"/>
      <c r="L23" s="46"/>
    </row>
    <row r="24" spans="1:12" x14ac:dyDescent="0.25">
      <c r="A24" s="2" t="s">
        <v>15</v>
      </c>
      <c r="B24" s="6">
        <v>35441604</v>
      </c>
      <c r="C24" s="293">
        <f t="shared" si="1"/>
        <v>0.25552809914393382</v>
      </c>
      <c r="D24" s="6">
        <v>81989872</v>
      </c>
      <c r="E24" s="8">
        <f t="shared" si="2"/>
        <v>0.59113340754031451</v>
      </c>
      <c r="F24" s="33">
        <v>21267963</v>
      </c>
      <c r="G24" s="8">
        <f t="shared" si="3"/>
        <v>0.15333849331575161</v>
      </c>
      <c r="H24" s="33">
        <v>138699439</v>
      </c>
      <c r="I24" s="46"/>
      <c r="J24" s="46"/>
      <c r="K24" s="297"/>
      <c r="L24" s="46"/>
    </row>
    <row r="25" spans="1:12" x14ac:dyDescent="0.25">
      <c r="A25" s="2" t="s">
        <v>16</v>
      </c>
      <c r="B25" s="6">
        <v>283043980</v>
      </c>
      <c r="C25" s="293">
        <f t="shared" si="1"/>
        <v>0.81784779306078847</v>
      </c>
      <c r="D25" s="6">
        <v>63039952</v>
      </c>
      <c r="E25" s="8">
        <f t="shared" si="2"/>
        <v>0.1821522069392115</v>
      </c>
      <c r="F25" s="33">
        <v>0</v>
      </c>
      <c r="G25" s="8">
        <f t="shared" si="3"/>
        <v>0</v>
      </c>
      <c r="H25" s="33">
        <v>346083932</v>
      </c>
      <c r="I25" s="46"/>
      <c r="J25" s="46"/>
      <c r="K25" s="297"/>
      <c r="L25" s="46"/>
    </row>
    <row r="26" spans="1:12" x14ac:dyDescent="0.25">
      <c r="A26" s="2" t="s">
        <v>17</v>
      </c>
      <c r="B26" s="6">
        <v>10000000</v>
      </c>
      <c r="C26" s="293">
        <f t="shared" si="1"/>
        <v>0.67683764126955248</v>
      </c>
      <c r="D26" s="6">
        <v>4774592</v>
      </c>
      <c r="E26" s="8">
        <f t="shared" si="2"/>
        <v>0.32316235873044752</v>
      </c>
      <c r="F26" s="33">
        <v>0</v>
      </c>
      <c r="G26" s="8">
        <f t="shared" si="3"/>
        <v>0</v>
      </c>
      <c r="H26" s="33">
        <v>14774592</v>
      </c>
      <c r="I26" s="46"/>
      <c r="J26" s="46"/>
      <c r="K26" s="297"/>
      <c r="L26" s="46"/>
    </row>
    <row r="27" spans="1:12" x14ac:dyDescent="0.25">
      <c r="A27" s="2" t="s">
        <v>18</v>
      </c>
      <c r="B27" s="6">
        <v>11777007</v>
      </c>
      <c r="C27" s="293">
        <f t="shared" si="1"/>
        <v>0.3239556699511778</v>
      </c>
      <c r="D27" s="6">
        <v>24576754</v>
      </c>
      <c r="E27" s="8">
        <f t="shared" si="2"/>
        <v>0.67604433004882214</v>
      </c>
      <c r="F27" s="33">
        <v>0</v>
      </c>
      <c r="G27" s="8">
        <f t="shared" si="3"/>
        <v>0</v>
      </c>
      <c r="H27" s="33">
        <v>36353761</v>
      </c>
      <c r="I27" s="46"/>
      <c r="J27" s="46"/>
      <c r="K27" s="297"/>
      <c r="L27" s="46"/>
    </row>
    <row r="28" spans="1:12" x14ac:dyDescent="0.25">
      <c r="A28" s="2" t="s">
        <v>19</v>
      </c>
      <c r="B28" s="6">
        <v>6740253</v>
      </c>
      <c r="C28" s="293">
        <f t="shared" si="1"/>
        <v>0.40476527767927589</v>
      </c>
      <c r="D28" s="6">
        <v>9911998</v>
      </c>
      <c r="E28" s="8">
        <f t="shared" si="2"/>
        <v>0.59523472232072405</v>
      </c>
      <c r="F28" s="33">
        <v>0</v>
      </c>
      <c r="G28" s="8">
        <f t="shared" si="3"/>
        <v>0</v>
      </c>
      <c r="H28" s="33">
        <v>16652251</v>
      </c>
      <c r="I28" s="46"/>
      <c r="J28" s="46"/>
      <c r="K28" s="297"/>
      <c r="L28" s="46"/>
    </row>
    <row r="29" spans="1:12" x14ac:dyDescent="0.25">
      <c r="A29" s="3" t="s">
        <v>20</v>
      </c>
      <c r="B29" s="7">
        <f>SUM(B21:B28)</f>
        <v>648626228</v>
      </c>
      <c r="C29" s="294">
        <f t="shared" si="1"/>
        <v>0.42404602912360856</v>
      </c>
      <c r="D29" s="7">
        <f>SUM(D21:D28)</f>
        <v>759606885</v>
      </c>
      <c r="E29" s="9">
        <f t="shared" si="2"/>
        <v>0.49660076847710138</v>
      </c>
      <c r="F29" s="299">
        <f>SUM(F21:F28)</f>
        <v>121379673</v>
      </c>
      <c r="G29" s="9">
        <f t="shared" si="3"/>
        <v>7.9353202399290085E-2</v>
      </c>
      <c r="H29" s="299">
        <f>SUM(H21:K28)</f>
        <v>1529612786</v>
      </c>
      <c r="I29" s="46"/>
      <c r="J29" s="46"/>
      <c r="K29" s="298"/>
      <c r="L29" s="46"/>
    </row>
    <row r="30" spans="1:12" x14ac:dyDescent="0.25">
      <c r="I30" s="18"/>
      <c r="J30" s="18"/>
      <c r="K30" s="18"/>
      <c r="L30" s="18"/>
    </row>
    <row r="32" spans="1:12" x14ac:dyDescent="0.25">
      <c r="A32" s="16" t="s">
        <v>495</v>
      </c>
    </row>
    <row r="34" spans="1:13" ht="29.25" customHeight="1" x14ac:dyDescent="0.25">
      <c r="A34" s="425" t="s">
        <v>29</v>
      </c>
      <c r="B34" s="425" t="s">
        <v>28</v>
      </c>
      <c r="C34" s="425"/>
      <c r="D34" s="425"/>
      <c r="E34" s="425"/>
      <c r="F34" s="425" t="s">
        <v>496</v>
      </c>
      <c r="G34" s="425"/>
      <c r="H34" s="425"/>
      <c r="I34" s="425"/>
      <c r="J34" s="431" t="s">
        <v>506</v>
      </c>
      <c r="K34" s="431"/>
      <c r="L34" s="431"/>
      <c r="M34" s="431"/>
    </row>
    <row r="35" spans="1:13" ht="75" x14ac:dyDescent="0.25">
      <c r="A35" s="425"/>
      <c r="B35" s="425" t="s">
        <v>30</v>
      </c>
      <c r="C35" s="425"/>
      <c r="D35" s="288" t="s">
        <v>31</v>
      </c>
      <c r="E35" s="288" t="s">
        <v>32</v>
      </c>
      <c r="F35" s="425" t="s">
        <v>30</v>
      </c>
      <c r="G35" s="425"/>
      <c r="H35" s="288" t="s">
        <v>31</v>
      </c>
      <c r="I35" s="288" t="s">
        <v>32</v>
      </c>
      <c r="J35" s="425" t="s">
        <v>30</v>
      </c>
      <c r="K35" s="425"/>
      <c r="L35" s="288" t="s">
        <v>31</v>
      </c>
      <c r="M35" s="288" t="s">
        <v>32</v>
      </c>
    </row>
    <row r="36" spans="1:13" ht="60" x14ac:dyDescent="0.25">
      <c r="A36" s="425"/>
      <c r="B36" s="287" t="s">
        <v>40</v>
      </c>
      <c r="C36" s="287" t="s">
        <v>6</v>
      </c>
      <c r="D36" s="287" t="s">
        <v>6</v>
      </c>
      <c r="E36" s="287" t="s">
        <v>6</v>
      </c>
      <c r="F36" s="287" t="s">
        <v>40</v>
      </c>
      <c r="G36" s="287" t="s">
        <v>6</v>
      </c>
      <c r="H36" s="287" t="s">
        <v>6</v>
      </c>
      <c r="I36" s="287" t="s">
        <v>6</v>
      </c>
      <c r="J36" s="287" t="s">
        <v>40</v>
      </c>
      <c r="K36" s="287" t="s">
        <v>6</v>
      </c>
      <c r="L36" s="287" t="s">
        <v>6</v>
      </c>
      <c r="M36" s="287" t="s">
        <v>6</v>
      </c>
    </row>
    <row r="37" spans="1:13" x14ac:dyDescent="0.25">
      <c r="A37" s="12" t="s">
        <v>12</v>
      </c>
      <c r="B37" s="2">
        <v>5</v>
      </c>
      <c r="C37" s="6">
        <v>14188632</v>
      </c>
      <c r="D37" s="6">
        <v>100200339</v>
      </c>
      <c r="E37" s="6">
        <v>53923521</v>
      </c>
      <c r="F37" s="71">
        <v>5</v>
      </c>
      <c r="G37" s="6">
        <v>7870028</v>
      </c>
      <c r="H37" s="6">
        <v>69673241</v>
      </c>
      <c r="I37" s="6">
        <v>52163751</v>
      </c>
      <c r="J37" s="8">
        <f>(F37-B37)/B37</f>
        <v>0</v>
      </c>
      <c r="K37" s="8">
        <f>(G37-C37)/C37</f>
        <v>-0.44532862646659666</v>
      </c>
      <c r="L37" s="8">
        <f>(H37-D37)/D37</f>
        <v>-0.3046606259485809</v>
      </c>
      <c r="M37" s="8">
        <f>(I37-E37)/E37</f>
        <v>-3.2634552925429335E-2</v>
      </c>
    </row>
    <row r="38" spans="1:13" x14ac:dyDescent="0.25">
      <c r="A38" s="2" t="s">
        <v>13</v>
      </c>
      <c r="B38" s="2">
        <v>38</v>
      </c>
      <c r="C38" s="6">
        <v>190610922</v>
      </c>
      <c r="D38" s="6">
        <v>395884792</v>
      </c>
      <c r="E38" s="6">
        <v>46471239</v>
      </c>
      <c r="F38" s="71">
        <v>46</v>
      </c>
      <c r="G38" s="6">
        <v>289295438</v>
      </c>
      <c r="H38" s="6">
        <v>444456538</v>
      </c>
      <c r="I38" s="6">
        <v>45392495</v>
      </c>
      <c r="J38" s="8">
        <f t="shared" ref="J38:M45" si="4">(F38-B38)/B38</f>
        <v>0.21052631578947367</v>
      </c>
      <c r="K38" s="8">
        <f t="shared" si="4"/>
        <v>0.51772749937173068</v>
      </c>
      <c r="L38" s="8">
        <f t="shared" si="4"/>
        <v>0.12269161882833832</v>
      </c>
      <c r="M38" s="8">
        <f>(I38-E38)/E38</f>
        <v>-2.3213153408713719E-2</v>
      </c>
    </row>
    <row r="39" spans="1:13" x14ac:dyDescent="0.25">
      <c r="A39" s="2" t="s">
        <v>14</v>
      </c>
      <c r="B39" s="2">
        <v>8</v>
      </c>
      <c r="C39" s="6">
        <v>23936091</v>
      </c>
      <c r="D39" s="6">
        <v>76104087</v>
      </c>
      <c r="E39" s="6">
        <v>2416917</v>
      </c>
      <c r="F39" s="71">
        <v>5</v>
      </c>
      <c r="G39" s="6">
        <v>4457918</v>
      </c>
      <c r="H39" s="6">
        <v>61183938</v>
      </c>
      <c r="I39" s="6">
        <v>2555464</v>
      </c>
      <c r="J39" s="8">
        <f t="shared" si="4"/>
        <v>-0.375</v>
      </c>
      <c r="K39" s="8">
        <f t="shared" si="4"/>
        <v>-0.81375747610585203</v>
      </c>
      <c r="L39" s="8">
        <f t="shared" si="4"/>
        <v>-0.19604924765735643</v>
      </c>
      <c r="M39" s="8">
        <f>(I39-E39)/E39</f>
        <v>5.7323855142729356E-2</v>
      </c>
    </row>
    <row r="40" spans="1:13" x14ac:dyDescent="0.25">
      <c r="A40" s="12" t="s">
        <v>15</v>
      </c>
      <c r="B40" s="2">
        <v>13</v>
      </c>
      <c r="C40" s="6">
        <v>14105082</v>
      </c>
      <c r="D40" s="6">
        <v>92637819</v>
      </c>
      <c r="E40" s="6">
        <v>23704458</v>
      </c>
      <c r="F40" s="71">
        <v>16</v>
      </c>
      <c r="G40" s="6">
        <v>35441604</v>
      </c>
      <c r="H40" s="6">
        <v>81989872</v>
      </c>
      <c r="I40" s="6">
        <v>21267963</v>
      </c>
      <c r="J40" s="8">
        <f t="shared" si="4"/>
        <v>0.23076923076923078</v>
      </c>
      <c r="K40" s="8">
        <f t="shared" si="4"/>
        <v>1.5126833009549323</v>
      </c>
      <c r="L40" s="8">
        <f t="shared" si="4"/>
        <v>-0.11494168488573765</v>
      </c>
      <c r="M40" s="8">
        <f t="shared" si="4"/>
        <v>-0.10278636195773808</v>
      </c>
    </row>
    <row r="41" spans="1:13" x14ac:dyDescent="0.25">
      <c r="A41" s="12" t="s">
        <v>16</v>
      </c>
      <c r="B41" s="2">
        <v>14</v>
      </c>
      <c r="C41" s="6">
        <v>90764691</v>
      </c>
      <c r="D41" s="6">
        <v>68941942</v>
      </c>
      <c r="E41" s="6">
        <v>0</v>
      </c>
      <c r="F41" s="71">
        <v>18</v>
      </c>
      <c r="G41" s="6">
        <v>283043980</v>
      </c>
      <c r="H41" s="6">
        <v>63039952</v>
      </c>
      <c r="I41" s="2">
        <v>0</v>
      </c>
      <c r="J41" s="8">
        <f t="shared" si="4"/>
        <v>0.2857142857142857</v>
      </c>
      <c r="K41" s="8">
        <f t="shared" si="4"/>
        <v>2.1184371023749753</v>
      </c>
      <c r="L41" s="8">
        <f t="shared" si="4"/>
        <v>-8.5608119365131893E-2</v>
      </c>
      <c r="M41" s="8">
        <v>0</v>
      </c>
    </row>
    <row r="42" spans="1:13" x14ac:dyDescent="0.25">
      <c r="A42" s="12" t="s">
        <v>17</v>
      </c>
      <c r="B42" s="2">
        <v>1</v>
      </c>
      <c r="C42" s="6">
        <v>820000</v>
      </c>
      <c r="D42" s="6">
        <v>6154149</v>
      </c>
      <c r="E42" s="6">
        <v>0</v>
      </c>
      <c r="F42" s="71">
        <v>2</v>
      </c>
      <c r="G42" s="6">
        <v>10000000</v>
      </c>
      <c r="H42" s="6">
        <v>4774592</v>
      </c>
      <c r="I42" s="2">
        <v>0</v>
      </c>
      <c r="J42" s="8">
        <f t="shared" si="4"/>
        <v>1</v>
      </c>
      <c r="K42" s="8">
        <f t="shared" si="4"/>
        <v>11.195121951219512</v>
      </c>
      <c r="L42" s="8">
        <f t="shared" si="4"/>
        <v>-0.22416698068246316</v>
      </c>
      <c r="M42" s="8">
        <v>0</v>
      </c>
    </row>
    <row r="43" spans="1:13" x14ac:dyDescent="0.25">
      <c r="A43" s="2" t="s">
        <v>18</v>
      </c>
      <c r="B43" s="2">
        <v>3</v>
      </c>
      <c r="C43" s="6">
        <v>2387895</v>
      </c>
      <c r="D43" s="6">
        <v>54661206</v>
      </c>
      <c r="E43" s="6">
        <v>0</v>
      </c>
      <c r="F43" s="71">
        <v>3</v>
      </c>
      <c r="G43" s="6">
        <v>11777007</v>
      </c>
      <c r="H43" s="6">
        <v>24576754</v>
      </c>
      <c r="I43" s="2">
        <v>0</v>
      </c>
      <c r="J43" s="8">
        <f t="shared" si="4"/>
        <v>0</v>
      </c>
      <c r="K43" s="8">
        <f t="shared" si="4"/>
        <v>3.9319618324926346</v>
      </c>
      <c r="L43" s="8">
        <f t="shared" si="4"/>
        <v>-0.55038031908772744</v>
      </c>
      <c r="M43" s="8">
        <v>0</v>
      </c>
    </row>
    <row r="44" spans="1:13" x14ac:dyDescent="0.25">
      <c r="A44" s="2" t="s">
        <v>19</v>
      </c>
      <c r="B44" s="2">
        <v>11</v>
      </c>
      <c r="C44" s="6">
        <v>30762615</v>
      </c>
      <c r="D44" s="6">
        <v>8091028</v>
      </c>
      <c r="E44" s="6">
        <v>0</v>
      </c>
      <c r="F44" s="71">
        <v>3</v>
      </c>
      <c r="G44" s="6">
        <v>6740253</v>
      </c>
      <c r="H44" s="6">
        <v>9911998</v>
      </c>
      <c r="I44" s="2">
        <v>0</v>
      </c>
      <c r="J44" s="8">
        <f t="shared" si="4"/>
        <v>-0.72727272727272729</v>
      </c>
      <c r="K44" s="8">
        <f t="shared" si="4"/>
        <v>-0.78089466711461297</v>
      </c>
      <c r="L44" s="8">
        <f t="shared" si="4"/>
        <v>0.22506040023591564</v>
      </c>
      <c r="M44" s="8">
        <v>0</v>
      </c>
    </row>
    <row r="45" spans="1:13" x14ac:dyDescent="0.25">
      <c r="A45" s="3" t="s">
        <v>20</v>
      </c>
      <c r="B45" s="5">
        <f t="shared" ref="B45:I45" si="5">SUM(B37:B44)</f>
        <v>93</v>
      </c>
      <c r="C45" s="7">
        <f t="shared" si="5"/>
        <v>367575928</v>
      </c>
      <c r="D45" s="7">
        <f t="shared" si="5"/>
        <v>802675362</v>
      </c>
      <c r="E45" s="7">
        <f t="shared" si="5"/>
        <v>126516135</v>
      </c>
      <c r="F45" s="5">
        <f>SUM(F37:F44)</f>
        <v>98</v>
      </c>
      <c r="G45" s="7">
        <f t="shared" si="5"/>
        <v>648626228</v>
      </c>
      <c r="H45" s="7">
        <f t="shared" si="5"/>
        <v>759606885</v>
      </c>
      <c r="I45" s="7">
        <f t="shared" si="5"/>
        <v>121379673</v>
      </c>
      <c r="J45" s="9">
        <f t="shared" si="4"/>
        <v>5.3763440860215055E-2</v>
      </c>
      <c r="K45" s="9">
        <f t="shared" si="4"/>
        <v>0.76460474854599292</v>
      </c>
      <c r="L45" s="9">
        <f t="shared" si="4"/>
        <v>-5.3656159188302084E-2</v>
      </c>
      <c r="M45" s="9">
        <f t="shared" si="4"/>
        <v>-4.0599264275659387E-2</v>
      </c>
    </row>
    <row r="48" spans="1:13" x14ac:dyDescent="0.25">
      <c r="H48" s="31"/>
    </row>
  </sheetData>
  <mergeCells count="20">
    <mergeCell ref="A34:A36"/>
    <mergeCell ref="B34:E34"/>
    <mergeCell ref="F34:I34"/>
    <mergeCell ref="J34:M34"/>
    <mergeCell ref="B35:C35"/>
    <mergeCell ref="F35:G35"/>
    <mergeCell ref="J35:K35"/>
    <mergeCell ref="A19:A20"/>
    <mergeCell ref="B19:C19"/>
    <mergeCell ref="D19:E19"/>
    <mergeCell ref="F19:G19"/>
    <mergeCell ref="H19:H20"/>
    <mergeCell ref="A3:A5"/>
    <mergeCell ref="A1:L1"/>
    <mergeCell ref="C4:E4"/>
    <mergeCell ref="C3:E3"/>
    <mergeCell ref="G4:H4"/>
    <mergeCell ref="F3:H3"/>
    <mergeCell ref="I3:J4"/>
    <mergeCell ref="B3:B5"/>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3" workbookViewId="0">
      <selection activeCell="M45" sqref="M45"/>
    </sheetView>
  </sheetViews>
  <sheetFormatPr defaultRowHeight="15" x14ac:dyDescent="0.25"/>
  <cols>
    <col min="1" max="1" width="23.140625" customWidth="1"/>
  </cols>
  <sheetData>
    <row r="1" spans="1:8" ht="30.75" customHeight="1" x14ac:dyDescent="0.25">
      <c r="A1" s="421" t="s">
        <v>498</v>
      </c>
      <c r="B1" s="421"/>
      <c r="C1" s="421"/>
      <c r="D1" s="421"/>
      <c r="E1" s="421"/>
      <c r="F1" s="421"/>
      <c r="G1" s="421"/>
      <c r="H1" s="421"/>
    </row>
    <row r="16" spans="1:8" ht="15.75" thickBot="1" x14ac:dyDescent="0.3">
      <c r="A16" s="417"/>
      <c r="B16" s="417" t="s">
        <v>23</v>
      </c>
      <c r="C16" s="417" t="s">
        <v>24</v>
      </c>
      <c r="D16" s="417" t="s">
        <v>25</v>
      </c>
      <c r="E16" s="417" t="s">
        <v>26</v>
      </c>
      <c r="F16" s="417" t="s">
        <v>27</v>
      </c>
      <c r="G16" s="417" t="s">
        <v>28</v>
      </c>
      <c r="H16" s="417" t="s">
        <v>496</v>
      </c>
    </row>
    <row r="17" spans="1:8" ht="45.75" thickTop="1" x14ac:dyDescent="0.25">
      <c r="A17" s="13" t="s">
        <v>21</v>
      </c>
      <c r="B17" s="14">
        <v>247</v>
      </c>
      <c r="C17" s="14">
        <v>228</v>
      </c>
      <c r="D17" s="14">
        <v>240</v>
      </c>
      <c r="E17" s="14">
        <v>238</v>
      </c>
      <c r="F17" s="14">
        <v>221</v>
      </c>
      <c r="G17" s="14">
        <v>235</v>
      </c>
      <c r="H17" s="337">
        <v>228</v>
      </c>
    </row>
    <row r="18" spans="1:8" ht="30" x14ac:dyDescent="0.25">
      <c r="A18" s="12" t="s">
        <v>22</v>
      </c>
      <c r="B18" s="2">
        <v>1337.8</v>
      </c>
      <c r="C18" s="2">
        <v>867.2</v>
      </c>
      <c r="D18" s="2">
        <v>1496.6</v>
      </c>
      <c r="E18" s="2">
        <v>1305.0999999999999</v>
      </c>
      <c r="F18" s="2">
        <v>1632.9</v>
      </c>
      <c r="G18" s="2">
        <v>1296.7</v>
      </c>
      <c r="H18" s="135">
        <v>1529.6</v>
      </c>
    </row>
    <row r="19" spans="1:8" x14ac:dyDescent="0.25">
      <c r="A19" s="17"/>
      <c r="B19" s="18"/>
      <c r="C19" s="18"/>
      <c r="D19" s="18"/>
      <c r="E19" s="18"/>
      <c r="F19" s="18"/>
      <c r="G19" s="18"/>
    </row>
    <row r="20" spans="1:8" x14ac:dyDescent="0.25">
      <c r="A20" s="432" t="s">
        <v>497</v>
      </c>
      <c r="B20" s="432"/>
      <c r="C20" s="432"/>
      <c r="D20" s="432"/>
      <c r="E20" s="432"/>
      <c r="F20" s="432"/>
      <c r="G20" s="432"/>
      <c r="H20" s="432"/>
    </row>
    <row r="21" spans="1:8" x14ac:dyDescent="0.25">
      <c r="A21" s="106" t="s">
        <v>29</v>
      </c>
      <c r="B21" s="106" t="s">
        <v>23</v>
      </c>
      <c r="C21" s="106" t="s">
        <v>24</v>
      </c>
      <c r="D21" s="106" t="s">
        <v>25</v>
      </c>
      <c r="E21" s="106" t="s">
        <v>26</v>
      </c>
      <c r="F21" s="106" t="s">
        <v>27</v>
      </c>
      <c r="G21" s="106" t="s">
        <v>28</v>
      </c>
      <c r="H21" s="106" t="s">
        <v>496</v>
      </c>
    </row>
    <row r="22" spans="1:8" x14ac:dyDescent="0.25">
      <c r="A22" s="2" t="s">
        <v>12</v>
      </c>
      <c r="B22" s="2">
        <v>104</v>
      </c>
      <c r="C22" s="2">
        <v>95</v>
      </c>
      <c r="D22" s="2">
        <v>55</v>
      </c>
      <c r="E22" s="2">
        <v>52</v>
      </c>
      <c r="F22" s="2">
        <v>53</v>
      </c>
      <c r="G22" s="2">
        <v>65</v>
      </c>
      <c r="H22" s="135">
        <v>64</v>
      </c>
    </row>
    <row r="23" spans="1:8" x14ac:dyDescent="0.25">
      <c r="A23" s="2" t="s">
        <v>13</v>
      </c>
      <c r="B23" s="2">
        <v>3</v>
      </c>
      <c r="C23" s="2">
        <v>4</v>
      </c>
      <c r="D23" s="2">
        <v>4</v>
      </c>
      <c r="E23" s="2">
        <v>4</v>
      </c>
      <c r="F23" s="2">
        <v>4</v>
      </c>
      <c r="G23" s="2">
        <v>4</v>
      </c>
      <c r="H23" s="135">
        <v>4</v>
      </c>
    </row>
    <row r="24" spans="1:8" x14ac:dyDescent="0.25">
      <c r="A24" s="2" t="s">
        <v>14</v>
      </c>
      <c r="B24" s="2">
        <v>70</v>
      </c>
      <c r="C24" s="2">
        <v>70</v>
      </c>
      <c r="D24" s="2">
        <v>118</v>
      </c>
      <c r="E24" s="2">
        <v>119</v>
      </c>
      <c r="F24" s="2">
        <v>101</v>
      </c>
      <c r="G24" s="2">
        <v>103</v>
      </c>
      <c r="H24" s="135">
        <v>101</v>
      </c>
    </row>
    <row r="25" spans="1:8" x14ac:dyDescent="0.25">
      <c r="A25" s="2" t="s">
        <v>15</v>
      </c>
      <c r="B25" s="2">
        <v>5</v>
      </c>
      <c r="C25" s="2">
        <v>5</v>
      </c>
      <c r="D25" s="2">
        <v>6</v>
      </c>
      <c r="E25" s="2">
        <v>7</v>
      </c>
      <c r="F25" s="2">
        <v>6</v>
      </c>
      <c r="G25" s="2">
        <v>5</v>
      </c>
      <c r="H25" s="135">
        <v>4</v>
      </c>
    </row>
    <row r="26" spans="1:8" x14ac:dyDescent="0.25">
      <c r="A26" s="2" t="s">
        <v>16</v>
      </c>
      <c r="B26" s="2">
        <v>50</v>
      </c>
      <c r="C26" s="2">
        <v>39</v>
      </c>
      <c r="D26" s="2">
        <v>42</v>
      </c>
      <c r="E26" s="2">
        <v>41</v>
      </c>
      <c r="F26" s="2">
        <v>41</v>
      </c>
      <c r="G26" s="2">
        <v>42</v>
      </c>
      <c r="H26" s="135">
        <v>40</v>
      </c>
    </row>
    <row r="27" spans="1:8" x14ac:dyDescent="0.25">
      <c r="A27" s="2" t="s">
        <v>17</v>
      </c>
      <c r="B27" s="2">
        <v>1</v>
      </c>
      <c r="C27" s="2">
        <v>1</v>
      </c>
      <c r="D27" s="2">
        <v>1</v>
      </c>
      <c r="E27" s="2">
        <v>1</v>
      </c>
      <c r="F27" s="2">
        <v>1</v>
      </c>
      <c r="G27" s="2">
        <v>1</v>
      </c>
      <c r="H27" s="135">
        <v>1</v>
      </c>
    </row>
    <row r="28" spans="1:8" x14ac:dyDescent="0.25">
      <c r="A28" s="2" t="s">
        <v>18</v>
      </c>
      <c r="B28" s="2">
        <v>10</v>
      </c>
      <c r="C28" s="2">
        <v>10</v>
      </c>
      <c r="D28" s="2">
        <v>10</v>
      </c>
      <c r="E28" s="2">
        <v>10</v>
      </c>
      <c r="F28" s="2">
        <v>11</v>
      </c>
      <c r="G28" s="2">
        <v>11</v>
      </c>
      <c r="H28" s="135">
        <v>11</v>
      </c>
    </row>
    <row r="29" spans="1:8" x14ac:dyDescent="0.25">
      <c r="A29" s="2" t="s">
        <v>19</v>
      </c>
      <c r="B29" s="2">
        <v>4</v>
      </c>
      <c r="C29" s="2">
        <v>4</v>
      </c>
      <c r="D29" s="2">
        <v>4</v>
      </c>
      <c r="E29" s="2">
        <v>4</v>
      </c>
      <c r="F29" s="2">
        <v>4</v>
      </c>
      <c r="G29" s="2">
        <v>4</v>
      </c>
      <c r="H29" s="135">
        <v>3</v>
      </c>
    </row>
    <row r="30" spans="1:8" x14ac:dyDescent="0.25">
      <c r="A30" s="418" t="s">
        <v>20</v>
      </c>
      <c r="B30" s="308">
        <f t="shared" ref="B30:G30" si="0">SUM(B22:B29)</f>
        <v>247</v>
      </c>
      <c r="C30" s="308">
        <f t="shared" si="0"/>
        <v>228</v>
      </c>
      <c r="D30" s="308">
        <f t="shared" si="0"/>
        <v>240</v>
      </c>
      <c r="E30" s="308">
        <f t="shared" si="0"/>
        <v>238</v>
      </c>
      <c r="F30" s="308">
        <f t="shared" si="0"/>
        <v>221</v>
      </c>
      <c r="G30" s="308">
        <f t="shared" si="0"/>
        <v>235</v>
      </c>
      <c r="H30" s="308">
        <f>SUM(H22:H29)</f>
        <v>228</v>
      </c>
    </row>
    <row r="32" spans="1:8" ht="30.75" customHeight="1" x14ac:dyDescent="0.25">
      <c r="A32" s="421" t="s">
        <v>499</v>
      </c>
      <c r="B32" s="421"/>
      <c r="C32" s="421"/>
      <c r="D32" s="421"/>
      <c r="E32" s="421"/>
      <c r="F32" s="421"/>
      <c r="G32" s="421"/>
      <c r="H32" s="421"/>
    </row>
    <row r="47" spans="1:8" x14ac:dyDescent="0.25">
      <c r="A47" s="106"/>
      <c r="B47" s="106" t="s">
        <v>23</v>
      </c>
      <c r="C47" s="106" t="s">
        <v>24</v>
      </c>
      <c r="D47" s="106" t="s">
        <v>25</v>
      </c>
      <c r="E47" s="106" t="s">
        <v>26</v>
      </c>
      <c r="F47" s="106" t="s">
        <v>27</v>
      </c>
      <c r="G47" s="106" t="s">
        <v>28</v>
      </c>
      <c r="H47" s="106" t="s">
        <v>496</v>
      </c>
    </row>
    <row r="48" spans="1:8" x14ac:dyDescent="0.25">
      <c r="A48" s="2" t="s">
        <v>35</v>
      </c>
      <c r="B48" s="8">
        <f t="shared" ref="B48:G48" si="1">B50/B49</f>
        <v>0.10121457489878542</v>
      </c>
      <c r="C48" s="8">
        <f t="shared" si="1"/>
        <v>0.11842105263157894</v>
      </c>
      <c r="D48" s="8">
        <f t="shared" si="1"/>
        <v>0.11666666666666667</v>
      </c>
      <c r="E48" s="8">
        <f t="shared" si="1"/>
        <v>0.12605042016806722</v>
      </c>
      <c r="F48" s="8">
        <f t="shared" si="1"/>
        <v>0.12669683257918551</v>
      </c>
      <c r="G48" s="8">
        <f t="shared" si="1"/>
        <v>9.3617021276595741E-2</v>
      </c>
      <c r="H48" s="339">
        <f>H50/H49</f>
        <v>9.6491228070175433E-2</v>
      </c>
    </row>
    <row r="49" spans="1:8" ht="45" x14ac:dyDescent="0.25">
      <c r="A49" s="12" t="s">
        <v>36</v>
      </c>
      <c r="B49" s="2">
        <f t="shared" ref="B49:G49" si="2">B30</f>
        <v>247</v>
      </c>
      <c r="C49" s="2">
        <f t="shared" si="2"/>
        <v>228</v>
      </c>
      <c r="D49" s="2">
        <f t="shared" si="2"/>
        <v>240</v>
      </c>
      <c r="E49" s="2">
        <f t="shared" si="2"/>
        <v>238</v>
      </c>
      <c r="F49" s="2">
        <f t="shared" si="2"/>
        <v>221</v>
      </c>
      <c r="G49" s="2">
        <f t="shared" si="2"/>
        <v>235</v>
      </c>
      <c r="H49" s="2">
        <v>228</v>
      </c>
    </row>
    <row r="50" spans="1:8" ht="45" x14ac:dyDescent="0.25">
      <c r="A50" s="12" t="s">
        <v>37</v>
      </c>
      <c r="B50" s="2">
        <v>25</v>
      </c>
      <c r="C50" s="2">
        <v>27</v>
      </c>
      <c r="D50" s="2">
        <v>28</v>
      </c>
      <c r="E50" s="2">
        <v>30</v>
      </c>
      <c r="F50" s="2">
        <v>28</v>
      </c>
      <c r="G50" s="2">
        <v>22</v>
      </c>
      <c r="H50" s="135">
        <v>22</v>
      </c>
    </row>
  </sheetData>
  <mergeCells count="3">
    <mergeCell ref="A1:H1"/>
    <mergeCell ref="A20:H20"/>
    <mergeCell ref="A32:H32"/>
  </mergeCells>
  <conditionalFormatting sqref="B17:H17">
    <cfRule type="top10" dxfId="27" priority="7" percent="1" rank="10"/>
    <cfRule type="iconSet" priority="8">
      <iconSet iconSet="3Arrows">
        <cfvo type="percent" val="0"/>
        <cfvo type="percent" val="33"/>
        <cfvo type="percent" val="67"/>
      </iconSet>
    </cfRule>
  </conditionalFormatting>
  <conditionalFormatting sqref="B18:G19 H18">
    <cfRule type="top10" dxfId="26" priority="5" percent="1" rank="10"/>
    <cfRule type="iconSet" priority="6">
      <iconSet iconSet="3Arrows">
        <cfvo type="percent" val="0"/>
        <cfvo type="percent" val="33"/>
        <cfvo type="percent" val="67"/>
      </iconSet>
    </cfRule>
  </conditionalFormatting>
  <conditionalFormatting sqref="B50:H50">
    <cfRule type="iconSet" priority="3">
      <iconSet iconSet="3Arrows">
        <cfvo type="percent" val="0"/>
        <cfvo type="percent" val="33"/>
        <cfvo type="percent" val="67"/>
      </iconSet>
    </cfRule>
    <cfRule type="top10" dxfId="25" priority="4" percent="1" rank="10"/>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09"/>
  <sheetViews>
    <sheetView workbookViewId="0">
      <selection activeCell="H6" sqref="H6"/>
    </sheetView>
  </sheetViews>
  <sheetFormatPr defaultRowHeight="15" x14ac:dyDescent="0.25"/>
  <cols>
    <col min="1" max="1" width="15.7109375" customWidth="1"/>
    <col min="2" max="2" width="12.85546875" bestFit="1" customWidth="1"/>
    <col min="3" max="3" width="12.28515625" bestFit="1" customWidth="1"/>
    <col min="4" max="5" width="10.85546875" bestFit="1" customWidth="1"/>
    <col min="6" max="6" width="12.28515625" bestFit="1" customWidth="1"/>
  </cols>
  <sheetData>
    <row r="1" spans="1:8" x14ac:dyDescent="0.25">
      <c r="A1" s="16" t="s">
        <v>500</v>
      </c>
    </row>
    <row r="3" spans="1:8" x14ac:dyDescent="0.25">
      <c r="A3" s="106"/>
      <c r="B3" s="106" t="s">
        <v>23</v>
      </c>
      <c r="C3" s="106" t="s">
        <v>24</v>
      </c>
      <c r="D3" s="106" t="s">
        <v>25</v>
      </c>
      <c r="E3" s="106" t="s">
        <v>26</v>
      </c>
      <c r="F3" s="106" t="s">
        <v>27</v>
      </c>
      <c r="G3" s="106" t="s">
        <v>28</v>
      </c>
      <c r="H3" s="106" t="s">
        <v>496</v>
      </c>
    </row>
    <row r="4" spans="1:8" ht="60" x14ac:dyDescent="0.25">
      <c r="A4" s="12" t="s">
        <v>39</v>
      </c>
      <c r="B4" s="2">
        <v>913.1</v>
      </c>
      <c r="C4" s="2">
        <v>402.5</v>
      </c>
      <c r="D4" s="2">
        <v>991.2</v>
      </c>
      <c r="E4" s="2">
        <v>737.3</v>
      </c>
      <c r="F4" s="2">
        <v>684.1</v>
      </c>
      <c r="G4" s="2">
        <v>367.5</v>
      </c>
      <c r="H4" s="135">
        <v>648.6</v>
      </c>
    </row>
    <row r="5" spans="1:8" x14ac:dyDescent="0.25">
      <c r="A5" s="2" t="s">
        <v>40</v>
      </c>
      <c r="B5" s="2">
        <v>76</v>
      </c>
      <c r="C5" s="2">
        <v>95</v>
      </c>
      <c r="D5" s="2">
        <v>101</v>
      </c>
      <c r="E5" s="2">
        <v>111</v>
      </c>
      <c r="F5" s="2">
        <v>119</v>
      </c>
      <c r="G5" s="2">
        <v>93</v>
      </c>
      <c r="H5" s="135">
        <v>98</v>
      </c>
    </row>
    <row r="6" spans="1:8" x14ac:dyDescent="0.25">
      <c r="A6" s="2" t="s">
        <v>41</v>
      </c>
      <c r="B6" s="2">
        <v>109</v>
      </c>
      <c r="C6" s="2">
        <v>134</v>
      </c>
      <c r="D6" s="2">
        <v>148</v>
      </c>
      <c r="E6" s="2">
        <v>380</v>
      </c>
      <c r="F6" s="2">
        <v>152</v>
      </c>
      <c r="G6" s="2">
        <v>273</v>
      </c>
      <c r="H6" s="135">
        <v>146</v>
      </c>
    </row>
    <row r="13" spans="1:8" x14ac:dyDescent="0.25">
      <c r="A13" s="16"/>
    </row>
    <row r="14" spans="1:8" x14ac:dyDescent="0.25">
      <c r="A14" s="16"/>
    </row>
    <row r="15" spans="1:8" x14ac:dyDescent="0.25">
      <c r="A15" s="16"/>
    </row>
    <row r="16" spans="1:8" x14ac:dyDescent="0.25">
      <c r="A16" s="16"/>
    </row>
    <row r="31" spans="1:1" x14ac:dyDescent="0.25">
      <c r="A31" s="16" t="s">
        <v>505</v>
      </c>
    </row>
    <row r="33" spans="1:5" ht="90" x14ac:dyDescent="0.25">
      <c r="A33" s="305"/>
      <c r="B33" s="306" t="s">
        <v>424</v>
      </c>
      <c r="C33" s="307" t="s">
        <v>425</v>
      </c>
      <c r="D33" s="306" t="s">
        <v>156</v>
      </c>
      <c r="E33" s="307" t="s">
        <v>157</v>
      </c>
    </row>
    <row r="34" spans="1:5" x14ac:dyDescent="0.25">
      <c r="A34" s="43">
        <v>2012</v>
      </c>
      <c r="B34" s="42">
        <v>0.54900000000000004</v>
      </c>
      <c r="C34" s="8">
        <v>0.28000000000000003</v>
      </c>
      <c r="D34" s="42">
        <v>0.17100000000000001</v>
      </c>
      <c r="E34" s="20">
        <v>1804.590796</v>
      </c>
    </row>
    <row r="35" spans="1:5" x14ac:dyDescent="0.25">
      <c r="A35" s="43">
        <v>2013</v>
      </c>
      <c r="B35" s="42">
        <v>0.56499999999999995</v>
      </c>
      <c r="C35" s="8">
        <v>0.39700000000000002</v>
      </c>
      <c r="D35" s="42">
        <v>3.7999999999999999E-2</v>
      </c>
      <c r="E35" s="20">
        <v>1305.1158720000001</v>
      </c>
    </row>
    <row r="36" spans="1:5" x14ac:dyDescent="0.25">
      <c r="A36" s="43">
        <v>2014</v>
      </c>
      <c r="B36" s="42">
        <v>0.41899999999999998</v>
      </c>
      <c r="C36" s="8">
        <v>0.41699999999999998</v>
      </c>
      <c r="D36" s="42">
        <v>0.16400000000000001</v>
      </c>
      <c r="E36" s="20">
        <v>1632.9772359999999</v>
      </c>
    </row>
    <row r="37" spans="1:5" x14ac:dyDescent="0.25">
      <c r="A37" s="43">
        <v>2015</v>
      </c>
      <c r="B37" s="42">
        <v>0.28299999999999997</v>
      </c>
      <c r="C37" s="8">
        <v>0.61899999999999999</v>
      </c>
      <c r="D37" s="42">
        <v>9.8000000000000004E-2</v>
      </c>
      <c r="E37" s="20">
        <v>1296.767325</v>
      </c>
    </row>
    <row r="38" spans="1:5" x14ac:dyDescent="0.25">
      <c r="A38" s="340">
        <v>2016</v>
      </c>
      <c r="B38" s="341">
        <v>0.42399999999999999</v>
      </c>
      <c r="C38" s="339">
        <v>0.497</v>
      </c>
      <c r="D38" s="341">
        <v>7.9000000000000001E-2</v>
      </c>
      <c r="E38" s="40">
        <v>1529.6</v>
      </c>
    </row>
    <row r="57" spans="1:13" x14ac:dyDescent="0.25">
      <c r="A57" s="16" t="s">
        <v>423</v>
      </c>
    </row>
    <row r="58" spans="1:13" x14ac:dyDescent="0.25">
      <c r="A58" s="172"/>
      <c r="B58" s="172"/>
      <c r="C58" s="172"/>
      <c r="D58" s="172"/>
      <c r="E58" s="172"/>
      <c r="F58" s="172"/>
      <c r="G58" s="172"/>
      <c r="H58" s="172"/>
      <c r="I58" s="172"/>
      <c r="J58" s="172"/>
      <c r="K58" s="172"/>
      <c r="L58" s="172"/>
      <c r="M58" s="172"/>
    </row>
    <row r="59" spans="1:13" ht="120" x14ac:dyDescent="0.25">
      <c r="A59" s="106"/>
      <c r="B59" s="307" t="s">
        <v>426</v>
      </c>
      <c r="C59" s="419" t="s">
        <v>427</v>
      </c>
      <c r="D59" s="420" t="s">
        <v>428</v>
      </c>
      <c r="E59" s="304" t="s">
        <v>429</v>
      </c>
      <c r="F59" s="172"/>
      <c r="G59" s="172"/>
      <c r="H59" s="172"/>
      <c r="I59" s="172"/>
      <c r="J59" s="172"/>
      <c r="K59" s="172"/>
      <c r="L59" s="172"/>
      <c r="M59" s="172"/>
    </row>
    <row r="60" spans="1:13" x14ac:dyDescent="0.25">
      <c r="A60" s="71" t="s">
        <v>26</v>
      </c>
      <c r="B60" s="73">
        <f>(D60-D64)/D64</f>
        <v>-0.25614343198461054</v>
      </c>
      <c r="C60" s="342">
        <f>(E60-E64)/E64</f>
        <v>2.4388963133843693E-2</v>
      </c>
      <c r="D60" s="343">
        <v>737345195</v>
      </c>
      <c r="E60" s="179">
        <v>517758987</v>
      </c>
      <c r="F60" s="172"/>
      <c r="G60" s="172"/>
      <c r="H60" s="172"/>
      <c r="I60" s="172"/>
      <c r="J60" s="172"/>
      <c r="K60" s="172"/>
      <c r="L60" s="172"/>
      <c r="M60" s="172"/>
    </row>
    <row r="61" spans="1:13" x14ac:dyDescent="0.25">
      <c r="A61" s="71" t="s">
        <v>27</v>
      </c>
      <c r="B61" s="73">
        <f t="shared" ref="B61:C63" si="0">(D61-D60)/D60</f>
        <v>-7.2168433944972007E-2</v>
      </c>
      <c r="C61" s="342">
        <f t="shared" si="0"/>
        <v>0.31401317810442952</v>
      </c>
      <c r="D61" s="343">
        <v>684132147</v>
      </c>
      <c r="E61" s="179">
        <v>680342132</v>
      </c>
      <c r="F61" s="171"/>
      <c r="G61" s="172"/>
      <c r="H61" s="172"/>
      <c r="I61" s="172"/>
      <c r="J61" s="172"/>
      <c r="K61" s="172"/>
      <c r="L61" s="172"/>
      <c r="M61" s="172"/>
    </row>
    <row r="62" spans="1:13" x14ac:dyDescent="0.25">
      <c r="A62" s="71" t="s">
        <v>28</v>
      </c>
      <c r="B62" s="73">
        <f t="shared" si="0"/>
        <v>-0.46125038910063088</v>
      </c>
      <c r="C62" s="342">
        <f t="shared" si="0"/>
        <v>0.17981119240752827</v>
      </c>
      <c r="D62" s="343">
        <v>368575928</v>
      </c>
      <c r="E62" s="179">
        <v>802675262</v>
      </c>
      <c r="F62" s="171"/>
      <c r="G62" s="172"/>
      <c r="H62" s="172"/>
      <c r="I62" s="172"/>
      <c r="J62" s="172"/>
      <c r="K62" s="172"/>
      <c r="L62" s="172"/>
      <c r="M62" s="172"/>
    </row>
    <row r="63" spans="1:13" x14ac:dyDescent="0.25">
      <c r="A63" s="71" t="s">
        <v>496</v>
      </c>
      <c r="B63" s="344">
        <f t="shared" si="0"/>
        <v>0.75981711968992183</v>
      </c>
      <c r="C63" s="345">
        <f t="shared" si="0"/>
        <v>-5.3656041289584427E-2</v>
      </c>
      <c r="D63" s="346">
        <v>648626228</v>
      </c>
      <c r="E63" s="176">
        <v>759606885</v>
      </c>
      <c r="F63" s="172"/>
      <c r="G63" s="172"/>
      <c r="H63" s="172"/>
      <c r="I63" s="172"/>
      <c r="J63" s="172"/>
      <c r="K63" s="172"/>
      <c r="L63" s="172"/>
      <c r="M63" s="172"/>
    </row>
    <row r="64" spans="1:13" x14ac:dyDescent="0.25">
      <c r="A64" s="71" t="s">
        <v>25</v>
      </c>
      <c r="B64" s="71"/>
      <c r="C64" s="347"/>
      <c r="D64" s="343">
        <v>991246467</v>
      </c>
      <c r="E64" s="179">
        <v>505432024</v>
      </c>
      <c r="F64" s="172"/>
      <c r="G64" s="172"/>
      <c r="H64" s="172"/>
      <c r="I64" s="172"/>
      <c r="J64" s="172"/>
      <c r="K64" s="172"/>
      <c r="L64" s="172"/>
      <c r="M64" s="172"/>
    </row>
    <row r="65" spans="1:13" x14ac:dyDescent="0.25">
      <c r="A65" s="172"/>
      <c r="B65" s="172"/>
      <c r="C65" s="172"/>
      <c r="D65" s="172"/>
      <c r="E65" s="172"/>
      <c r="F65" s="172"/>
      <c r="G65" s="172"/>
      <c r="H65" s="172"/>
      <c r="I65" s="172"/>
      <c r="J65" s="172"/>
      <c r="K65" s="172"/>
      <c r="L65" s="172"/>
      <c r="M65" s="172"/>
    </row>
    <row r="66" spans="1:13" x14ac:dyDescent="0.25">
      <c r="A66" s="172"/>
      <c r="B66" s="172"/>
      <c r="C66" s="172"/>
      <c r="D66" s="172"/>
      <c r="E66" s="172"/>
      <c r="F66" s="172"/>
      <c r="G66" s="172"/>
      <c r="H66" s="172"/>
      <c r="I66" s="172"/>
      <c r="J66" s="172"/>
      <c r="K66" s="172"/>
      <c r="L66" s="172"/>
      <c r="M66" s="172"/>
    </row>
    <row r="67" spans="1:13" x14ac:dyDescent="0.25">
      <c r="A67" s="172"/>
      <c r="B67" s="172"/>
      <c r="C67" s="172"/>
      <c r="D67" s="172"/>
      <c r="E67" s="172"/>
      <c r="F67" s="172"/>
      <c r="G67" s="172"/>
      <c r="H67" s="172"/>
      <c r="I67" s="172"/>
      <c r="J67" s="172"/>
      <c r="K67" s="172"/>
      <c r="L67" s="172"/>
      <c r="M67" s="172"/>
    </row>
    <row r="68" spans="1:13" x14ac:dyDescent="0.25">
      <c r="A68" s="172"/>
      <c r="B68" s="172"/>
      <c r="C68" s="172"/>
      <c r="D68" s="172"/>
      <c r="E68" s="172"/>
      <c r="F68" s="172"/>
      <c r="G68" s="172"/>
      <c r="H68" s="172"/>
      <c r="I68" s="172"/>
      <c r="J68" s="172"/>
      <c r="K68" s="172"/>
      <c r="L68" s="172"/>
      <c r="M68" s="172"/>
    </row>
    <row r="69" spans="1:13" x14ac:dyDescent="0.25">
      <c r="A69" s="172"/>
      <c r="B69" s="172"/>
      <c r="C69" s="172"/>
      <c r="D69" s="172"/>
      <c r="E69" s="172"/>
      <c r="F69" s="172"/>
      <c r="G69" s="172"/>
      <c r="H69" s="172"/>
      <c r="I69" s="172"/>
      <c r="J69" s="172"/>
      <c r="K69" s="172"/>
      <c r="L69" s="172"/>
      <c r="M69" s="172"/>
    </row>
    <row r="70" spans="1:13" x14ac:dyDescent="0.25">
      <c r="A70" s="172"/>
      <c r="B70" s="172"/>
      <c r="C70" s="172"/>
      <c r="D70" s="172"/>
      <c r="E70" s="172"/>
      <c r="F70" s="172"/>
      <c r="G70" s="172"/>
      <c r="H70" s="172"/>
      <c r="I70" s="172"/>
      <c r="J70" s="172"/>
      <c r="K70" s="172"/>
      <c r="L70" s="172"/>
      <c r="M70" s="172"/>
    </row>
    <row r="71" spans="1:13" x14ac:dyDescent="0.25">
      <c r="A71" s="172"/>
      <c r="B71" s="172"/>
      <c r="C71" s="172"/>
      <c r="D71" s="172"/>
      <c r="E71" s="172"/>
      <c r="F71" s="172"/>
      <c r="G71" s="172"/>
      <c r="H71" s="172"/>
      <c r="I71" s="172"/>
      <c r="J71" s="172"/>
      <c r="K71" s="172"/>
      <c r="L71" s="172"/>
      <c r="M71" s="172"/>
    </row>
    <row r="72" spans="1:13" x14ac:dyDescent="0.25">
      <c r="A72" s="172"/>
      <c r="B72" s="172"/>
      <c r="C72" s="172"/>
      <c r="D72" s="172"/>
      <c r="E72" s="172"/>
      <c r="F72" s="172"/>
      <c r="G72" s="172"/>
      <c r="H72" s="172"/>
      <c r="I72" s="172"/>
      <c r="J72" s="172"/>
      <c r="K72" s="172"/>
      <c r="L72" s="172"/>
      <c r="M72" s="172"/>
    </row>
    <row r="73" spans="1:13" x14ac:dyDescent="0.25">
      <c r="A73" s="172"/>
      <c r="B73" s="172"/>
      <c r="C73" s="172"/>
      <c r="D73" s="172"/>
      <c r="E73" s="172"/>
      <c r="F73" s="172"/>
      <c r="G73" s="172"/>
      <c r="H73" s="172"/>
      <c r="I73" s="172"/>
      <c r="J73" s="172"/>
      <c r="K73" s="172"/>
      <c r="L73" s="172"/>
      <c r="M73" s="172"/>
    </row>
    <row r="74" spans="1:13" x14ac:dyDescent="0.25">
      <c r="A74" s="172"/>
      <c r="B74" s="172"/>
      <c r="C74" s="172"/>
      <c r="D74" s="172"/>
      <c r="E74" s="172"/>
      <c r="F74" s="172"/>
      <c r="G74" s="172"/>
      <c r="H74" s="172"/>
      <c r="I74" s="172"/>
      <c r="J74" s="172"/>
      <c r="K74" s="172"/>
      <c r="L74" s="172"/>
      <c r="M74" s="172"/>
    </row>
    <row r="75" spans="1:13" x14ac:dyDescent="0.25">
      <c r="A75" s="172"/>
      <c r="B75" s="172"/>
      <c r="C75" s="172"/>
      <c r="D75" s="172"/>
      <c r="E75" s="172"/>
      <c r="F75" s="172"/>
      <c r="G75" s="172"/>
      <c r="H75" s="172"/>
      <c r="I75" s="172"/>
      <c r="J75" s="172"/>
      <c r="K75" s="172"/>
      <c r="L75" s="172"/>
      <c r="M75" s="172"/>
    </row>
    <row r="76" spans="1:13" x14ac:dyDescent="0.25">
      <c r="A76" s="172"/>
      <c r="B76" s="172"/>
      <c r="C76" s="172"/>
      <c r="D76" s="172"/>
      <c r="E76" s="172"/>
      <c r="F76" s="172"/>
      <c r="G76" s="172"/>
      <c r="H76" s="172"/>
      <c r="I76" s="172"/>
      <c r="J76" s="172"/>
      <c r="K76" s="172"/>
      <c r="L76" s="172"/>
      <c r="M76" s="172"/>
    </row>
    <row r="77" spans="1:13" x14ac:dyDescent="0.25">
      <c r="A77" s="172"/>
      <c r="B77" s="172"/>
      <c r="C77" s="172"/>
      <c r="D77" s="172"/>
      <c r="E77" s="172"/>
      <c r="F77" s="172"/>
      <c r="G77" s="172"/>
      <c r="H77" s="172"/>
      <c r="I77" s="172"/>
      <c r="J77" s="172"/>
      <c r="K77" s="172"/>
      <c r="L77" s="172"/>
      <c r="M77" s="172"/>
    </row>
    <row r="78" spans="1:13" x14ac:dyDescent="0.25">
      <c r="A78" s="172"/>
      <c r="B78" s="172"/>
      <c r="C78" s="172"/>
      <c r="D78" s="172"/>
      <c r="E78" s="172"/>
      <c r="F78" s="172"/>
      <c r="G78" s="172"/>
      <c r="H78" s="172"/>
      <c r="I78" s="172"/>
      <c r="J78" s="172"/>
      <c r="K78" s="172"/>
      <c r="L78" s="172"/>
      <c r="M78" s="172"/>
    </row>
    <row r="79" spans="1:13" x14ac:dyDescent="0.25">
      <c r="A79" s="172"/>
      <c r="B79" s="172"/>
      <c r="C79" s="172"/>
      <c r="D79" s="172"/>
      <c r="E79" s="172"/>
      <c r="F79" s="172"/>
      <c r="G79" s="172"/>
      <c r="H79" s="172"/>
      <c r="I79" s="172"/>
      <c r="J79" s="172"/>
      <c r="K79" s="172"/>
      <c r="L79" s="172"/>
      <c r="M79" s="172"/>
    </row>
    <row r="80" spans="1:13" x14ac:dyDescent="0.25">
      <c r="A80" s="172"/>
      <c r="B80" s="172"/>
      <c r="C80" s="172"/>
      <c r="D80" s="172"/>
      <c r="E80" s="172"/>
      <c r="F80" s="172"/>
      <c r="G80" s="172"/>
      <c r="H80" s="172"/>
      <c r="I80" s="172"/>
      <c r="J80" s="172"/>
      <c r="K80" s="172"/>
      <c r="L80" s="172"/>
      <c r="M80" s="172"/>
    </row>
    <row r="81" spans="1:13" x14ac:dyDescent="0.25">
      <c r="A81" s="172"/>
      <c r="B81" s="172"/>
      <c r="C81" s="172"/>
      <c r="D81" s="172"/>
      <c r="E81" s="172"/>
      <c r="F81" s="172"/>
      <c r="G81" s="172"/>
      <c r="H81" s="172"/>
      <c r="I81" s="172"/>
      <c r="J81" s="172"/>
      <c r="K81" s="172"/>
      <c r="L81" s="172"/>
      <c r="M81" s="172"/>
    </row>
    <row r="82" spans="1:13" x14ac:dyDescent="0.25">
      <c r="A82" s="16" t="s">
        <v>507</v>
      </c>
    </row>
    <row r="83" spans="1:13" x14ac:dyDescent="0.25">
      <c r="A83" s="172"/>
      <c r="B83" s="172"/>
      <c r="C83" s="172"/>
      <c r="D83" s="172"/>
      <c r="E83" s="172"/>
      <c r="F83" s="172"/>
      <c r="G83" s="172"/>
      <c r="H83" s="172"/>
      <c r="I83" s="172"/>
      <c r="J83" s="172"/>
      <c r="K83" s="172"/>
      <c r="L83" s="172"/>
      <c r="M83" s="172"/>
    </row>
    <row r="84" spans="1:13" ht="45" x14ac:dyDescent="0.25">
      <c r="A84" s="106"/>
      <c r="B84" s="304" t="s">
        <v>391</v>
      </c>
      <c r="C84" s="304" t="s">
        <v>159</v>
      </c>
      <c r="D84" s="172"/>
      <c r="E84" s="172"/>
      <c r="F84" s="172"/>
      <c r="G84" s="172"/>
      <c r="H84" s="172"/>
      <c r="I84" s="172"/>
      <c r="J84" s="172"/>
      <c r="K84" s="172"/>
      <c r="L84" s="172"/>
      <c r="M84" s="172"/>
    </row>
    <row r="85" spans="1:13" x14ac:dyDescent="0.25">
      <c r="A85" s="71" t="s">
        <v>23</v>
      </c>
      <c r="B85" s="179">
        <v>12014192</v>
      </c>
      <c r="C85" s="179">
        <v>8376192</v>
      </c>
      <c r="D85" s="172"/>
      <c r="E85" s="172"/>
      <c r="F85" s="172"/>
      <c r="G85" s="172"/>
      <c r="H85" s="172"/>
      <c r="I85" s="172"/>
      <c r="J85" s="172"/>
      <c r="K85" s="172"/>
      <c r="L85" s="172"/>
      <c r="M85" s="172"/>
    </row>
    <row r="86" spans="1:13" x14ac:dyDescent="0.25">
      <c r="A86" s="71" t="s">
        <v>24</v>
      </c>
      <c r="B86" s="179">
        <v>4236994</v>
      </c>
      <c r="C86" s="179">
        <v>3003839</v>
      </c>
      <c r="D86" s="172"/>
      <c r="E86" s="172"/>
      <c r="F86" s="172"/>
      <c r="G86" s="172"/>
      <c r="H86" s="172"/>
      <c r="I86" s="172"/>
      <c r="J86" s="172"/>
      <c r="K86" s="172"/>
      <c r="L86" s="172"/>
      <c r="M86" s="172"/>
    </row>
    <row r="87" spans="1:13" x14ac:dyDescent="0.25">
      <c r="A87" s="71" t="s">
        <v>25</v>
      </c>
      <c r="B87" s="179">
        <v>9814321</v>
      </c>
      <c r="C87" s="179">
        <v>6697611</v>
      </c>
      <c r="D87" s="172"/>
      <c r="E87" s="172"/>
      <c r="F87" s="172"/>
      <c r="G87" s="172"/>
      <c r="H87" s="172"/>
      <c r="I87" s="172"/>
      <c r="J87" s="172"/>
      <c r="K87" s="172"/>
      <c r="L87" s="172"/>
      <c r="M87" s="172"/>
    </row>
    <row r="88" spans="1:13" x14ac:dyDescent="0.25">
      <c r="A88" s="71" t="s">
        <v>26</v>
      </c>
      <c r="B88" s="179">
        <v>6642750</v>
      </c>
      <c r="C88" s="179">
        <v>1940382</v>
      </c>
      <c r="D88" s="172"/>
      <c r="E88" s="172"/>
      <c r="F88" s="172"/>
      <c r="G88" s="172"/>
      <c r="H88" s="172"/>
      <c r="I88" s="172"/>
      <c r="J88" s="172"/>
      <c r="K88" s="172"/>
      <c r="L88" s="172"/>
      <c r="M88" s="172"/>
    </row>
    <row r="89" spans="1:13" x14ac:dyDescent="0.25">
      <c r="A89" s="71" t="s">
        <v>27</v>
      </c>
      <c r="B89" s="179">
        <v>5749010</v>
      </c>
      <c r="C89" s="179">
        <v>4500869</v>
      </c>
      <c r="D89" s="172"/>
      <c r="E89" s="172"/>
      <c r="F89" s="172"/>
      <c r="G89" s="172"/>
      <c r="H89" s="172"/>
      <c r="I89" s="172"/>
      <c r="J89" s="172"/>
      <c r="K89" s="172"/>
      <c r="L89" s="172"/>
      <c r="M89" s="172"/>
    </row>
    <row r="90" spans="1:13" x14ac:dyDescent="0.25">
      <c r="A90" s="71" t="s">
        <v>28</v>
      </c>
      <c r="B90" s="179">
        <v>3952429</v>
      </c>
      <c r="C90" s="179">
        <v>1346432</v>
      </c>
      <c r="D90" s="172"/>
      <c r="E90" s="172"/>
      <c r="F90" s="172"/>
      <c r="G90" s="172"/>
      <c r="H90" s="172"/>
      <c r="I90" s="172"/>
      <c r="J90" s="172"/>
      <c r="K90" s="172"/>
      <c r="L90" s="172"/>
      <c r="M90" s="172"/>
    </row>
    <row r="91" spans="1:13" x14ac:dyDescent="0.25">
      <c r="A91" s="71" t="s">
        <v>496</v>
      </c>
      <c r="B91" s="179">
        <v>6618635</v>
      </c>
      <c r="C91" s="179">
        <v>4442645</v>
      </c>
      <c r="D91" s="172"/>
      <c r="E91" s="172"/>
      <c r="F91" s="172"/>
      <c r="G91" s="172"/>
      <c r="H91" s="172"/>
      <c r="I91" s="172"/>
      <c r="J91" s="172"/>
      <c r="K91" s="172"/>
      <c r="L91" s="172"/>
      <c r="M91" s="172"/>
    </row>
    <row r="92" spans="1:13" x14ac:dyDescent="0.25">
      <c r="A92" s="172"/>
      <c r="B92" s="172"/>
      <c r="C92" s="172"/>
      <c r="D92" s="172"/>
      <c r="E92" s="172"/>
      <c r="F92" s="172"/>
      <c r="G92" s="172"/>
      <c r="H92" s="172"/>
      <c r="I92" s="172"/>
      <c r="J92" s="172"/>
      <c r="K92" s="172"/>
      <c r="L92" s="172"/>
      <c r="M92" s="172"/>
    </row>
    <row r="93" spans="1:13" x14ac:dyDescent="0.25">
      <c r="A93" s="172"/>
      <c r="B93" s="172"/>
      <c r="C93" s="172"/>
      <c r="D93" s="172"/>
      <c r="E93" s="172"/>
      <c r="F93" s="172"/>
      <c r="G93" s="172"/>
      <c r="H93" s="172"/>
      <c r="I93" s="172"/>
      <c r="J93" s="172"/>
      <c r="K93" s="172"/>
      <c r="L93" s="172"/>
      <c r="M93" s="172"/>
    </row>
    <row r="94" spans="1:13" x14ac:dyDescent="0.25">
      <c r="A94" s="172"/>
      <c r="B94" s="172"/>
      <c r="C94" s="172"/>
      <c r="D94" s="172"/>
      <c r="E94" s="172"/>
      <c r="F94" s="172"/>
      <c r="G94" s="172"/>
      <c r="H94" s="172"/>
      <c r="I94" s="172"/>
      <c r="J94" s="172"/>
      <c r="K94" s="172"/>
      <c r="L94" s="172"/>
      <c r="M94" s="172"/>
    </row>
    <row r="95" spans="1:13" x14ac:dyDescent="0.25">
      <c r="A95" s="172"/>
      <c r="B95" s="172"/>
      <c r="C95" s="172"/>
      <c r="D95" s="172"/>
      <c r="E95" s="172"/>
      <c r="F95" s="172"/>
      <c r="G95" s="172"/>
      <c r="H95" s="172"/>
      <c r="I95" s="172"/>
      <c r="J95" s="172"/>
      <c r="K95" s="172"/>
      <c r="L95" s="172"/>
      <c r="M95" s="172"/>
    </row>
    <row r="96" spans="1:13" x14ac:dyDescent="0.25">
      <c r="A96" s="172"/>
      <c r="B96" s="172"/>
      <c r="C96" s="172"/>
      <c r="D96" s="172"/>
      <c r="E96" s="172"/>
      <c r="F96" s="172"/>
      <c r="G96" s="172"/>
      <c r="H96" s="172"/>
      <c r="I96" s="172"/>
      <c r="J96" s="172"/>
      <c r="K96" s="172"/>
      <c r="L96" s="172"/>
      <c r="M96" s="172"/>
    </row>
    <row r="97" spans="1:13" x14ac:dyDescent="0.25">
      <c r="A97" s="172"/>
      <c r="B97" s="172"/>
      <c r="C97" s="172"/>
      <c r="D97" s="172"/>
      <c r="E97" s="172"/>
      <c r="F97" s="172"/>
      <c r="G97" s="172"/>
      <c r="H97" s="172"/>
      <c r="I97" s="172"/>
      <c r="J97" s="172"/>
      <c r="K97" s="172"/>
      <c r="L97" s="172"/>
      <c r="M97" s="172"/>
    </row>
    <row r="98" spans="1:13" x14ac:dyDescent="0.25">
      <c r="A98" s="172"/>
      <c r="B98" s="172"/>
      <c r="C98" s="172"/>
      <c r="D98" s="172"/>
      <c r="E98" s="172"/>
      <c r="F98" s="172"/>
      <c r="G98" s="172"/>
      <c r="H98" s="172"/>
      <c r="I98" s="172"/>
      <c r="J98" s="172"/>
      <c r="K98" s="172"/>
      <c r="L98" s="172"/>
      <c r="M98" s="172"/>
    </row>
    <row r="99" spans="1:13" x14ac:dyDescent="0.25">
      <c r="A99" s="172"/>
      <c r="B99" s="172"/>
      <c r="C99" s="172"/>
      <c r="D99" s="172"/>
      <c r="E99" s="172"/>
      <c r="F99" s="172"/>
      <c r="G99" s="172"/>
      <c r="H99" s="172"/>
      <c r="I99" s="172"/>
      <c r="J99" s="172"/>
      <c r="K99" s="172"/>
      <c r="L99" s="172"/>
      <c r="M99" s="172"/>
    </row>
    <row r="100" spans="1:13" x14ac:dyDescent="0.25">
      <c r="A100" s="172"/>
      <c r="B100" s="172"/>
      <c r="C100" s="172"/>
      <c r="D100" s="172"/>
      <c r="E100" s="172"/>
      <c r="F100" s="172"/>
      <c r="G100" s="172"/>
      <c r="H100" s="172"/>
      <c r="I100" s="172"/>
      <c r="J100" s="172"/>
      <c r="K100" s="172"/>
      <c r="L100" s="172"/>
      <c r="M100" s="172"/>
    </row>
    <row r="101" spans="1:13" x14ac:dyDescent="0.25">
      <c r="A101" s="172"/>
      <c r="B101" s="172"/>
      <c r="C101" s="172"/>
      <c r="D101" s="172"/>
      <c r="E101" s="172"/>
      <c r="F101" s="172"/>
      <c r="G101" s="172"/>
      <c r="H101" s="172"/>
      <c r="I101" s="172"/>
      <c r="J101" s="172"/>
      <c r="K101" s="172"/>
      <c r="L101" s="172"/>
      <c r="M101" s="172"/>
    </row>
    <row r="102" spans="1:13" x14ac:dyDescent="0.25">
      <c r="A102" s="172"/>
      <c r="B102" s="172"/>
      <c r="C102" s="172"/>
      <c r="D102" s="172"/>
      <c r="E102" s="172"/>
      <c r="F102" s="172"/>
      <c r="G102" s="172"/>
      <c r="H102" s="172"/>
      <c r="I102" s="172"/>
      <c r="J102" s="172"/>
      <c r="K102" s="172"/>
      <c r="L102" s="172"/>
      <c r="M102" s="172"/>
    </row>
    <row r="103" spans="1:13" x14ac:dyDescent="0.25">
      <c r="A103" s="172"/>
      <c r="B103" s="172"/>
      <c r="C103" s="172"/>
      <c r="D103" s="172"/>
      <c r="E103" s="172"/>
      <c r="F103" s="172"/>
      <c r="G103" s="172"/>
      <c r="H103" s="172"/>
      <c r="I103" s="172"/>
      <c r="J103" s="172"/>
      <c r="K103" s="172"/>
      <c r="L103" s="172"/>
      <c r="M103" s="172"/>
    </row>
    <row r="112" spans="1:13" x14ac:dyDescent="0.25">
      <c r="A112" s="16" t="s">
        <v>430</v>
      </c>
    </row>
    <row r="114" spans="1:3" ht="45" x14ac:dyDescent="0.25">
      <c r="A114" s="106"/>
      <c r="B114" s="304" t="s">
        <v>391</v>
      </c>
      <c r="C114" s="304" t="s">
        <v>159</v>
      </c>
    </row>
    <row r="115" spans="1:3" x14ac:dyDescent="0.25">
      <c r="A115" s="2" t="s">
        <v>24</v>
      </c>
      <c r="B115" s="8">
        <f t="shared" ref="B115:C119" si="1">(B86-B85)/B85</f>
        <v>-0.64733425269048472</v>
      </c>
      <c r="C115" s="8">
        <f t="shared" si="1"/>
        <v>-0.64138369798591055</v>
      </c>
    </row>
    <row r="116" spans="1:3" x14ac:dyDescent="0.25">
      <c r="A116" s="2" t="s">
        <v>25</v>
      </c>
      <c r="B116" s="8">
        <f t="shared" si="1"/>
        <v>1.3163405470954173</v>
      </c>
      <c r="C116" s="8">
        <f t="shared" si="1"/>
        <v>1.229683748030437</v>
      </c>
    </row>
    <row r="117" spans="1:3" x14ac:dyDescent="0.25">
      <c r="A117" s="2" t="s">
        <v>26</v>
      </c>
      <c r="B117" s="8">
        <f t="shared" si="1"/>
        <v>-0.32315745531453477</v>
      </c>
      <c r="C117" s="8">
        <f t="shared" si="1"/>
        <v>-0.71028744428423807</v>
      </c>
    </row>
    <row r="118" spans="1:3" x14ac:dyDescent="0.25">
      <c r="A118" s="2" t="s">
        <v>27</v>
      </c>
      <c r="B118" s="8">
        <f t="shared" si="1"/>
        <v>-0.13454367543562532</v>
      </c>
      <c r="C118" s="8">
        <f t="shared" si="1"/>
        <v>1.3195788252003986</v>
      </c>
    </row>
    <row r="119" spans="1:3" x14ac:dyDescent="0.25">
      <c r="A119" s="2" t="s">
        <v>28</v>
      </c>
      <c r="B119" s="8">
        <f t="shared" si="1"/>
        <v>-0.31250267437350082</v>
      </c>
      <c r="C119" s="8">
        <f t="shared" si="1"/>
        <v>-0.70085065795072021</v>
      </c>
    </row>
    <row r="120" spans="1:3" x14ac:dyDescent="0.25">
      <c r="A120" s="135" t="s">
        <v>496</v>
      </c>
      <c r="B120" s="8">
        <f>(B91-B90)/B90</f>
        <v>0.67457404041919533</v>
      </c>
      <c r="C120" s="8">
        <f>(C91-C90)/C90</f>
        <v>2.2995687862439396</v>
      </c>
    </row>
    <row r="142" spans="1:4" x14ac:dyDescent="0.25">
      <c r="A142" s="16" t="s">
        <v>508</v>
      </c>
    </row>
    <row r="144" spans="1:4" x14ac:dyDescent="0.25">
      <c r="A144" s="106"/>
      <c r="B144" s="106" t="s">
        <v>199</v>
      </c>
      <c r="C144" s="106" t="s">
        <v>200</v>
      </c>
      <c r="D144" s="106" t="s">
        <v>201</v>
      </c>
    </row>
    <row r="145" spans="1:4" ht="30" x14ac:dyDescent="0.25">
      <c r="A145" s="12" t="s">
        <v>431</v>
      </c>
      <c r="B145" s="8">
        <v>0.505</v>
      </c>
      <c r="C145" s="8">
        <v>0.19</v>
      </c>
      <c r="D145" s="8">
        <v>0.30499999999999999</v>
      </c>
    </row>
    <row r="146" spans="1:4" ht="45" x14ac:dyDescent="0.25">
      <c r="A146" s="12" t="s">
        <v>432</v>
      </c>
      <c r="B146" s="8">
        <v>0.34200000000000003</v>
      </c>
      <c r="C146" s="8">
        <v>0.43</v>
      </c>
      <c r="D146" s="8">
        <v>0.22800000000000001</v>
      </c>
    </row>
    <row r="147" spans="1:4" ht="45" x14ac:dyDescent="0.25">
      <c r="A147" s="12" t="s">
        <v>433</v>
      </c>
      <c r="B147" s="8">
        <v>0.36499999999999999</v>
      </c>
      <c r="C147" s="8">
        <v>0.51600000000000001</v>
      </c>
      <c r="D147" s="8">
        <v>0.11899999999999999</v>
      </c>
    </row>
    <row r="148" spans="1:4" ht="45" x14ac:dyDescent="0.25">
      <c r="A148" s="12" t="s">
        <v>434</v>
      </c>
      <c r="B148" s="8">
        <v>0.29699999999999999</v>
      </c>
      <c r="C148" s="8">
        <v>0.53500000000000003</v>
      </c>
      <c r="D148" s="8">
        <v>0.16800000000000001</v>
      </c>
    </row>
    <row r="149" spans="1:4" ht="45" x14ac:dyDescent="0.25">
      <c r="A149" s="12" t="s">
        <v>435</v>
      </c>
      <c r="B149" s="8">
        <v>0.32400000000000001</v>
      </c>
      <c r="C149" s="8">
        <v>0.36599999999999999</v>
      </c>
      <c r="D149" s="8">
        <v>0.31</v>
      </c>
    </row>
    <row r="150" spans="1:4" ht="45" x14ac:dyDescent="0.25">
      <c r="A150" s="12" t="s">
        <v>436</v>
      </c>
      <c r="B150" s="8">
        <v>0.22600000000000001</v>
      </c>
      <c r="C150" s="8">
        <v>0.39800000000000002</v>
      </c>
      <c r="D150" s="8">
        <v>0.376</v>
      </c>
    </row>
    <row r="151" spans="1:4" ht="45" x14ac:dyDescent="0.25">
      <c r="A151" s="266" t="s">
        <v>543</v>
      </c>
      <c r="B151" s="339">
        <v>0.2</v>
      </c>
      <c r="C151" s="339">
        <v>0.38</v>
      </c>
      <c r="D151" s="339">
        <v>0.42</v>
      </c>
    </row>
    <row r="164" spans="1:11" x14ac:dyDescent="0.25">
      <c r="A164" s="434" t="s">
        <v>509</v>
      </c>
      <c r="B164" s="434"/>
      <c r="C164" s="434"/>
      <c r="D164" s="434"/>
      <c r="E164" s="434"/>
      <c r="F164" s="434"/>
      <c r="G164" s="434"/>
      <c r="H164" s="434"/>
      <c r="I164" s="434"/>
      <c r="J164" s="434"/>
      <c r="K164" s="434"/>
    </row>
    <row r="166" spans="1:11" x14ac:dyDescent="0.25">
      <c r="A166" s="437"/>
      <c r="B166" s="438"/>
      <c r="C166" s="106" t="s">
        <v>23</v>
      </c>
      <c r="D166" s="106" t="s">
        <v>24</v>
      </c>
      <c r="E166" s="106" t="s">
        <v>25</v>
      </c>
      <c r="F166" s="106" t="s">
        <v>26</v>
      </c>
      <c r="G166" s="106" t="s">
        <v>27</v>
      </c>
      <c r="H166" s="106" t="s">
        <v>28</v>
      </c>
      <c r="I166" s="106" t="s">
        <v>496</v>
      </c>
    </row>
    <row r="167" spans="1:11" x14ac:dyDescent="0.25">
      <c r="A167" s="435" t="s">
        <v>352</v>
      </c>
      <c r="B167" s="435"/>
      <c r="C167" s="2">
        <v>676.2</v>
      </c>
      <c r="D167" s="2">
        <v>296.8</v>
      </c>
      <c r="E167" s="2">
        <v>546.20000000000005</v>
      </c>
      <c r="F167" s="2">
        <v>372.6</v>
      </c>
      <c r="G167" s="2">
        <v>442.7</v>
      </c>
      <c r="H167" s="2">
        <v>264.8</v>
      </c>
      <c r="I167" s="360">
        <v>281</v>
      </c>
    </row>
    <row r="168" spans="1:11" x14ac:dyDescent="0.25">
      <c r="A168" s="435" t="s">
        <v>353</v>
      </c>
      <c r="B168" s="435"/>
      <c r="C168" s="2">
        <v>253.2</v>
      </c>
      <c r="D168" s="2">
        <v>372.5</v>
      </c>
      <c r="E168" s="2">
        <v>772.1</v>
      </c>
      <c r="F168" s="2">
        <v>671.5</v>
      </c>
      <c r="G168" s="2">
        <v>499.6</v>
      </c>
      <c r="H168" s="2">
        <v>465.2</v>
      </c>
      <c r="I168" s="135">
        <v>534.79999999999995</v>
      </c>
    </row>
    <row r="169" spans="1:11" ht="31.5" customHeight="1" x14ac:dyDescent="0.25">
      <c r="A169" s="436" t="s">
        <v>354</v>
      </c>
      <c r="B169" s="436"/>
      <c r="C169" s="2">
        <v>408</v>
      </c>
      <c r="D169" s="2">
        <v>197.7</v>
      </c>
      <c r="E169" s="2">
        <v>178.1</v>
      </c>
      <c r="F169" s="2">
        <v>210.7</v>
      </c>
      <c r="G169" s="2">
        <v>422.1</v>
      </c>
      <c r="H169" s="2">
        <v>440.2</v>
      </c>
      <c r="I169" s="135">
        <v>592.20000000000005</v>
      </c>
    </row>
    <row r="196" spans="1:11" ht="27.75" customHeight="1" x14ac:dyDescent="0.25">
      <c r="A196" s="423" t="s">
        <v>510</v>
      </c>
      <c r="B196" s="423"/>
      <c r="C196" s="423"/>
      <c r="D196" s="423"/>
      <c r="E196" s="423"/>
      <c r="F196" s="423"/>
      <c r="G196" s="423"/>
      <c r="H196" s="423"/>
      <c r="I196" s="423"/>
      <c r="J196" s="423"/>
      <c r="K196" s="423"/>
    </row>
    <row r="198" spans="1:11" x14ac:dyDescent="0.25">
      <c r="A198" s="439" t="s">
        <v>29</v>
      </c>
      <c r="B198" s="433" t="s">
        <v>23</v>
      </c>
      <c r="C198" s="433" t="s">
        <v>24</v>
      </c>
      <c r="D198" s="433" t="s">
        <v>25</v>
      </c>
      <c r="E198" s="433" t="s">
        <v>26</v>
      </c>
      <c r="F198" s="433" t="s">
        <v>27</v>
      </c>
      <c r="G198" s="433" t="s">
        <v>28</v>
      </c>
      <c r="H198" s="433" t="s">
        <v>496</v>
      </c>
    </row>
    <row r="199" spans="1:11" x14ac:dyDescent="0.25">
      <c r="A199" s="439"/>
      <c r="B199" s="433"/>
      <c r="C199" s="433"/>
      <c r="D199" s="433"/>
      <c r="E199" s="433"/>
      <c r="F199" s="433"/>
      <c r="G199" s="433"/>
      <c r="H199" s="433"/>
    </row>
    <row r="200" spans="1:11" ht="30" x14ac:dyDescent="0.25">
      <c r="A200" s="12" t="s">
        <v>12</v>
      </c>
      <c r="B200" s="8">
        <v>0.14000000000000001</v>
      </c>
      <c r="C200" s="8">
        <v>0.317</v>
      </c>
      <c r="D200" s="8">
        <v>0.126</v>
      </c>
      <c r="E200" s="8">
        <v>0.113</v>
      </c>
      <c r="F200" s="8">
        <v>6.4000000000000001E-2</v>
      </c>
      <c r="G200" s="8">
        <v>9.8000000000000004E-2</v>
      </c>
      <c r="H200" s="8">
        <v>5.5E-2</v>
      </c>
    </row>
    <row r="201" spans="1:11" x14ac:dyDescent="0.25">
      <c r="A201" s="12" t="s">
        <v>13</v>
      </c>
      <c r="B201" s="8">
        <v>0.56599999999999995</v>
      </c>
      <c r="C201" s="8">
        <v>0.217</v>
      </c>
      <c r="D201" s="8">
        <v>0.17</v>
      </c>
      <c r="E201" s="8">
        <v>0.193</v>
      </c>
      <c r="F201" s="8">
        <v>0.48799999999999999</v>
      </c>
      <c r="G201" s="8">
        <v>0.501</v>
      </c>
      <c r="H201" s="8">
        <v>0.52100000000000002</v>
      </c>
    </row>
    <row r="202" spans="1:11" x14ac:dyDescent="0.25">
      <c r="A202" s="12" t="s">
        <v>14</v>
      </c>
      <c r="B202" s="8">
        <v>4.2000000000000003E-2</v>
      </c>
      <c r="C202" s="8">
        <v>7.0000000000000007E-2</v>
      </c>
      <c r="D202" s="8">
        <v>0.06</v>
      </c>
      <c r="E202" s="8">
        <v>9.0999999999999998E-2</v>
      </c>
      <c r="F202" s="8">
        <v>8.1000000000000003E-2</v>
      </c>
      <c r="G202" s="8">
        <v>8.5000000000000006E-2</v>
      </c>
      <c r="H202" s="8">
        <v>4.7E-2</v>
      </c>
    </row>
    <row r="203" spans="1:11" ht="30" x14ac:dyDescent="0.25">
      <c r="A203" s="12" t="s">
        <v>15</v>
      </c>
      <c r="B203" s="8">
        <v>0.14499999999999999</v>
      </c>
      <c r="C203" s="8">
        <v>0.189</v>
      </c>
      <c r="D203" s="8">
        <v>0.36899999999999999</v>
      </c>
      <c r="E203" s="8">
        <v>0.16800000000000001</v>
      </c>
      <c r="F203" s="8">
        <v>0.19500000000000001</v>
      </c>
      <c r="G203" s="8">
        <v>9.0999999999999998E-2</v>
      </c>
      <c r="H203" s="8">
        <v>8.3000000000000004E-2</v>
      </c>
    </row>
    <row r="204" spans="1:11" ht="30" x14ac:dyDescent="0.25">
      <c r="A204" s="12" t="s">
        <v>16</v>
      </c>
      <c r="B204" s="8">
        <v>5.2999999999999999E-2</v>
      </c>
      <c r="C204" s="8">
        <v>0.109</v>
      </c>
      <c r="D204" s="8">
        <v>6.9000000000000006E-2</v>
      </c>
      <c r="E204" s="8">
        <v>0.312</v>
      </c>
      <c r="F204" s="8">
        <v>7.3999999999999996E-2</v>
      </c>
      <c r="G204" s="8">
        <v>0.13600000000000001</v>
      </c>
      <c r="H204" s="8">
        <v>0.246</v>
      </c>
    </row>
    <row r="205" spans="1:11" ht="30" x14ac:dyDescent="0.25">
      <c r="A205" s="12" t="s">
        <v>17</v>
      </c>
      <c r="B205" s="8">
        <v>0.01</v>
      </c>
      <c r="C205" s="8">
        <v>1.9E-2</v>
      </c>
      <c r="D205" s="8">
        <v>8.0000000000000002E-3</v>
      </c>
      <c r="E205" s="8">
        <v>1.4999999999999999E-2</v>
      </c>
      <c r="F205" s="8">
        <v>8.0000000000000002E-3</v>
      </c>
      <c r="G205" s="8">
        <v>6.0000000000000001E-3</v>
      </c>
      <c r="H205" s="8">
        <v>0.01</v>
      </c>
    </row>
    <row r="206" spans="1:11" x14ac:dyDescent="0.25">
      <c r="A206" s="12" t="s">
        <v>18</v>
      </c>
      <c r="B206" s="8">
        <v>3.7999999999999999E-2</v>
      </c>
      <c r="C206" s="8">
        <v>6.9000000000000006E-2</v>
      </c>
      <c r="D206" s="8">
        <v>0.13100000000000001</v>
      </c>
      <c r="E206" s="8">
        <v>0.09</v>
      </c>
      <c r="F206" s="8">
        <v>5.6000000000000001E-2</v>
      </c>
      <c r="G206" s="8">
        <v>4.9000000000000002E-2</v>
      </c>
      <c r="H206" s="8">
        <v>2.5999999999999999E-2</v>
      </c>
    </row>
    <row r="207" spans="1:11" x14ac:dyDescent="0.25">
      <c r="A207" s="12" t="s">
        <v>19</v>
      </c>
      <c r="B207" s="8">
        <v>6.0000000000000001E-3</v>
      </c>
      <c r="C207" s="8">
        <v>0.01</v>
      </c>
      <c r="D207" s="8">
        <v>6.7000000000000004E-2</v>
      </c>
      <c r="E207" s="8">
        <v>1.7999999999999999E-2</v>
      </c>
      <c r="F207" s="8">
        <v>3.4000000000000002E-2</v>
      </c>
      <c r="G207" s="8">
        <v>3.4000000000000002E-2</v>
      </c>
      <c r="H207" s="8">
        <v>1.2E-2</v>
      </c>
    </row>
    <row r="208" spans="1:11" x14ac:dyDescent="0.25">
      <c r="A208" s="308" t="s">
        <v>20</v>
      </c>
      <c r="B208" s="309">
        <f t="shared" ref="B208:G208" si="2">SUM(B200:B207)</f>
        <v>1</v>
      </c>
      <c r="C208" s="309">
        <f t="shared" si="2"/>
        <v>1.0000000000000002</v>
      </c>
      <c r="D208" s="309">
        <f t="shared" si="2"/>
        <v>1</v>
      </c>
      <c r="E208" s="309">
        <f t="shared" si="2"/>
        <v>1</v>
      </c>
      <c r="F208" s="309">
        <f t="shared" si="2"/>
        <v>1</v>
      </c>
      <c r="G208" s="309">
        <f t="shared" si="2"/>
        <v>1</v>
      </c>
      <c r="H208" s="309">
        <f>SUM(H200:H207)</f>
        <v>1</v>
      </c>
    </row>
    <row r="209" spans="1:8" ht="45" x14ac:dyDescent="0.25">
      <c r="A209" s="304" t="s">
        <v>437</v>
      </c>
      <c r="B209" s="310">
        <v>1337.7</v>
      </c>
      <c r="C209" s="310">
        <v>867.2</v>
      </c>
      <c r="D209" s="310">
        <v>1496.7</v>
      </c>
      <c r="E209" s="310">
        <v>1254.9000000000001</v>
      </c>
      <c r="F209" s="310">
        <v>1364.4</v>
      </c>
      <c r="G209" s="310">
        <v>1170.2</v>
      </c>
      <c r="H209" s="106">
        <v>1408.2</v>
      </c>
    </row>
  </sheetData>
  <mergeCells count="14">
    <mergeCell ref="F198:F199"/>
    <mergeCell ref="G198:G199"/>
    <mergeCell ref="A196:K196"/>
    <mergeCell ref="A164:K164"/>
    <mergeCell ref="A167:B167"/>
    <mergeCell ref="A168:B168"/>
    <mergeCell ref="A169:B169"/>
    <mergeCell ref="A166:B166"/>
    <mergeCell ref="A198:A199"/>
    <mergeCell ref="B198:B199"/>
    <mergeCell ref="C198:C199"/>
    <mergeCell ref="D198:D199"/>
    <mergeCell ref="E198:E199"/>
    <mergeCell ref="H198:H199"/>
  </mergeCells>
  <conditionalFormatting sqref="B85:B91">
    <cfRule type="top10" dxfId="24" priority="3" percent="1" rank="10"/>
    <cfRule type="iconSet" priority="4">
      <iconSet iconSet="3Arrows">
        <cfvo type="percent" val="0"/>
        <cfvo type="percent" val="33"/>
        <cfvo type="percent" val="67"/>
      </iconSet>
    </cfRule>
  </conditionalFormatting>
  <conditionalFormatting sqref="C85:C91">
    <cfRule type="top10" dxfId="23" priority="1" percent="1" rank="10"/>
    <cfRule type="iconSet" priority="2">
      <iconSet iconSet="3Arrows">
        <cfvo type="percent" val="0"/>
        <cfvo type="percent" val="33"/>
        <cfvo type="percent" val="67"/>
      </iconSet>
    </cfRule>
  </conditionalFormatting>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6"/>
  <sheetViews>
    <sheetView topLeftCell="D1" zoomScale="90" zoomScaleNormal="90" workbookViewId="0">
      <selection activeCell="AJ27" sqref="AJ27"/>
    </sheetView>
  </sheetViews>
  <sheetFormatPr defaultRowHeight="15" x14ac:dyDescent="0.25"/>
  <cols>
    <col min="1" max="1" width="12.42578125" customWidth="1"/>
    <col min="2" max="2" width="5.5703125" customWidth="1"/>
    <col min="3" max="3" width="5.42578125" customWidth="1"/>
    <col min="4" max="4" width="6.140625" customWidth="1"/>
    <col min="5" max="5" width="11" bestFit="1" customWidth="1"/>
    <col min="6" max="7" width="5.7109375" customWidth="1"/>
    <col min="8" max="8" width="7.140625" customWidth="1"/>
    <col min="9" max="9" width="12" bestFit="1" customWidth="1"/>
    <col min="10" max="12" width="6.28515625" customWidth="1"/>
    <col min="13" max="13" width="11" bestFit="1" customWidth="1"/>
    <col min="14" max="16" width="6" customWidth="1"/>
    <col min="17" max="17" width="12" bestFit="1" customWidth="1"/>
    <col min="18" max="19" width="6.42578125" customWidth="1"/>
    <col min="20" max="20" width="6" customWidth="1"/>
    <col min="21" max="21" width="12" bestFit="1" customWidth="1"/>
    <col min="22" max="23" width="6.140625" customWidth="1"/>
    <col min="24" max="24" width="5.7109375" customWidth="1"/>
    <col min="25" max="25" width="11" bestFit="1" customWidth="1"/>
    <col min="26" max="27" width="5.85546875" customWidth="1"/>
    <col min="28" max="28" width="6" customWidth="1"/>
    <col min="29" max="29" width="12" bestFit="1" customWidth="1"/>
    <col min="30" max="31" width="5.5703125" customWidth="1"/>
    <col min="32" max="32" width="5.85546875" customWidth="1"/>
    <col min="33" max="33" width="11" bestFit="1" customWidth="1"/>
    <col min="34" max="34" width="7.85546875" bestFit="1" customWidth="1"/>
    <col min="35" max="35" width="6.140625" customWidth="1"/>
    <col min="36" max="36" width="8.85546875" bestFit="1" customWidth="1"/>
    <col min="37" max="37" width="12.5703125" bestFit="1" customWidth="1"/>
    <col min="38" max="38" width="11.5703125" bestFit="1" customWidth="1"/>
    <col min="39" max="39" width="10.5703125" bestFit="1" customWidth="1"/>
  </cols>
  <sheetData>
    <row r="1" spans="1:39" x14ac:dyDescent="0.25">
      <c r="A1" s="415" t="s">
        <v>511</v>
      </c>
    </row>
    <row r="2" spans="1:39" ht="15" customHeight="1" x14ac:dyDescent="0.25"/>
    <row r="3" spans="1:39" ht="52.5" customHeight="1" x14ac:dyDescent="0.25">
      <c r="A3" s="444" t="s">
        <v>38</v>
      </c>
      <c r="B3" s="445" t="s">
        <v>45</v>
      </c>
      <c r="C3" s="445"/>
      <c r="D3" s="445"/>
      <c r="E3" s="446"/>
      <c r="F3" s="447" t="s">
        <v>47</v>
      </c>
      <c r="G3" s="448"/>
      <c r="H3" s="445"/>
      <c r="I3" s="449"/>
      <c r="J3" s="448" t="s">
        <v>49</v>
      </c>
      <c r="K3" s="448"/>
      <c r="L3" s="445"/>
      <c r="M3" s="446"/>
      <c r="N3" s="447" t="s">
        <v>46</v>
      </c>
      <c r="O3" s="448"/>
      <c r="P3" s="445"/>
      <c r="Q3" s="449"/>
      <c r="R3" s="448" t="s">
        <v>184</v>
      </c>
      <c r="S3" s="448"/>
      <c r="T3" s="445"/>
      <c r="U3" s="446"/>
      <c r="V3" s="450" t="s">
        <v>185</v>
      </c>
      <c r="W3" s="451"/>
      <c r="X3" s="444"/>
      <c r="Y3" s="452"/>
      <c r="Z3" s="448" t="s">
        <v>186</v>
      </c>
      <c r="AA3" s="448"/>
      <c r="AB3" s="445"/>
      <c r="AC3" s="446"/>
      <c r="AD3" s="450" t="s">
        <v>187</v>
      </c>
      <c r="AE3" s="451"/>
      <c r="AF3" s="444"/>
      <c r="AG3" s="455"/>
      <c r="AH3" s="453" t="s">
        <v>11</v>
      </c>
      <c r="AI3" s="454"/>
      <c r="AJ3" s="454"/>
      <c r="AK3" s="451"/>
      <c r="AL3" s="442" t="s">
        <v>159</v>
      </c>
    </row>
    <row r="4" spans="1:39" ht="195" x14ac:dyDescent="0.25">
      <c r="A4" s="444"/>
      <c r="B4" s="68" t="s">
        <v>48</v>
      </c>
      <c r="C4" s="68" t="s">
        <v>5</v>
      </c>
      <c r="D4" s="68" t="s">
        <v>197</v>
      </c>
      <c r="E4" s="69" t="s">
        <v>44</v>
      </c>
      <c r="F4" s="67" t="s">
        <v>48</v>
      </c>
      <c r="G4" s="68" t="s">
        <v>5</v>
      </c>
      <c r="H4" s="68" t="s">
        <v>229</v>
      </c>
      <c r="I4" s="90" t="s">
        <v>44</v>
      </c>
      <c r="J4" s="66" t="s">
        <v>48</v>
      </c>
      <c r="K4" s="68" t="s">
        <v>5</v>
      </c>
      <c r="L4" s="68" t="s">
        <v>197</v>
      </c>
      <c r="M4" s="69" t="s">
        <v>44</v>
      </c>
      <c r="N4" s="67" t="s">
        <v>48</v>
      </c>
      <c r="O4" s="68" t="s">
        <v>5</v>
      </c>
      <c r="P4" s="68" t="s">
        <v>197</v>
      </c>
      <c r="Q4" s="90" t="s">
        <v>44</v>
      </c>
      <c r="R4" s="66" t="s">
        <v>48</v>
      </c>
      <c r="S4" s="68" t="s">
        <v>5</v>
      </c>
      <c r="T4" s="68" t="s">
        <v>197</v>
      </c>
      <c r="U4" s="69" t="s">
        <v>44</v>
      </c>
      <c r="V4" s="67" t="s">
        <v>48</v>
      </c>
      <c r="W4" s="68" t="s">
        <v>5</v>
      </c>
      <c r="X4" s="68" t="s">
        <v>197</v>
      </c>
      <c r="Y4" s="90" t="s">
        <v>44</v>
      </c>
      <c r="Z4" s="66" t="s">
        <v>48</v>
      </c>
      <c r="AA4" s="68" t="s">
        <v>5</v>
      </c>
      <c r="AB4" s="68" t="s">
        <v>197</v>
      </c>
      <c r="AC4" s="69" t="s">
        <v>44</v>
      </c>
      <c r="AD4" s="67" t="s">
        <v>48</v>
      </c>
      <c r="AE4" s="68" t="s">
        <v>5</v>
      </c>
      <c r="AF4" s="68" t="s">
        <v>197</v>
      </c>
      <c r="AG4" s="69" t="s">
        <v>44</v>
      </c>
      <c r="AH4" s="93" t="s">
        <v>48</v>
      </c>
      <c r="AI4" s="68" t="s">
        <v>5</v>
      </c>
      <c r="AJ4" s="68" t="s">
        <v>198</v>
      </c>
      <c r="AK4" s="68" t="s">
        <v>44</v>
      </c>
      <c r="AL4" s="443"/>
    </row>
    <row r="5" spans="1:39" x14ac:dyDescent="0.25">
      <c r="A5" s="123">
        <v>2012</v>
      </c>
      <c r="B5" s="4"/>
      <c r="C5" s="4">
        <f>C7+C8+C9</f>
        <v>16</v>
      </c>
      <c r="D5" s="4">
        <v>18</v>
      </c>
      <c r="E5" s="95">
        <f>E7+E8+E9</f>
        <v>54934634</v>
      </c>
      <c r="F5" s="96"/>
      <c r="G5" s="97">
        <f>G7+G8+G9</f>
        <v>33</v>
      </c>
      <c r="H5" s="4">
        <v>50</v>
      </c>
      <c r="I5" s="98">
        <f>I7+I8+I9</f>
        <v>152951301</v>
      </c>
      <c r="J5" s="97"/>
      <c r="K5" s="97">
        <f>K7+K8+K9</f>
        <v>4</v>
      </c>
      <c r="L5" s="4">
        <v>4</v>
      </c>
      <c r="M5" s="95">
        <f>M7+M8+M9</f>
        <v>4694432</v>
      </c>
      <c r="N5" s="96"/>
      <c r="O5" s="97">
        <f>O7+O8+O9</f>
        <v>21</v>
      </c>
      <c r="P5" s="4">
        <v>35</v>
      </c>
      <c r="Q5" s="98">
        <f>Q7+Q8+Q9</f>
        <v>507330606</v>
      </c>
      <c r="R5" s="97"/>
      <c r="S5" s="97">
        <f>S7+S8+S9</f>
        <v>13</v>
      </c>
      <c r="T5" s="4">
        <v>26</v>
      </c>
      <c r="U5" s="95">
        <f>U7+U8+U9</f>
        <v>38396754</v>
      </c>
      <c r="V5" s="96"/>
      <c r="W5" s="97">
        <f>W7+W8+W9</f>
        <v>1</v>
      </c>
      <c r="X5" s="4">
        <v>1</v>
      </c>
      <c r="Y5" s="98">
        <f>Y7+Y8+Y9</f>
        <v>706150</v>
      </c>
      <c r="Z5" s="97"/>
      <c r="AA5" s="97">
        <f>AA7+AA8+AA9</f>
        <v>8</v>
      </c>
      <c r="AB5" s="4">
        <v>8</v>
      </c>
      <c r="AC5" s="95">
        <f>AC7+AC8+AC9</f>
        <v>147091111</v>
      </c>
      <c r="AD5" s="96"/>
      <c r="AE5" s="97">
        <f>AE7+AE8+AE9</f>
        <v>5</v>
      </c>
      <c r="AF5" s="4">
        <v>6</v>
      </c>
      <c r="AG5" s="95">
        <f>AG7+AG8+AG9</f>
        <v>85141479</v>
      </c>
      <c r="AH5" s="115" t="s">
        <v>450</v>
      </c>
      <c r="AI5" s="97">
        <f>AI7+AI8+AI9</f>
        <v>101</v>
      </c>
      <c r="AJ5" s="4" t="s">
        <v>449</v>
      </c>
      <c r="AK5" s="116">
        <f>AK7+AK8+AK9</f>
        <v>991246467</v>
      </c>
      <c r="AL5" s="116">
        <f>AK5/148</f>
        <v>6697611.2635135138</v>
      </c>
    </row>
    <row r="6" spans="1:39" x14ac:dyDescent="0.25">
      <c r="A6" s="130" t="s">
        <v>176</v>
      </c>
      <c r="B6" s="70"/>
      <c r="C6" s="70"/>
      <c r="D6" s="70"/>
      <c r="E6" s="124"/>
      <c r="F6" s="125"/>
      <c r="G6" s="126"/>
      <c r="H6" s="70"/>
      <c r="I6" s="127"/>
      <c r="J6" s="126"/>
      <c r="K6" s="126"/>
      <c r="L6" s="70"/>
      <c r="M6" s="124"/>
      <c r="N6" s="125"/>
      <c r="O6" s="126"/>
      <c r="P6" s="70"/>
      <c r="Q6" s="127"/>
      <c r="R6" s="126"/>
      <c r="S6" s="126"/>
      <c r="T6" s="70"/>
      <c r="U6" s="124"/>
      <c r="V6" s="125"/>
      <c r="W6" s="126"/>
      <c r="X6" s="70"/>
      <c r="Y6" s="127"/>
      <c r="Z6" s="126"/>
      <c r="AA6" s="126"/>
      <c r="AB6" s="70"/>
      <c r="AC6" s="124"/>
      <c r="AD6" s="125"/>
      <c r="AE6" s="126"/>
      <c r="AF6" s="70"/>
      <c r="AG6" s="124"/>
      <c r="AH6" s="128"/>
      <c r="AI6" s="126"/>
      <c r="AJ6" s="70"/>
      <c r="AK6" s="129"/>
      <c r="AL6" s="129"/>
    </row>
    <row r="7" spans="1:39" x14ac:dyDescent="0.25">
      <c r="A7" s="104" t="s">
        <v>199</v>
      </c>
      <c r="B7" s="70"/>
      <c r="C7" s="71">
        <v>1</v>
      </c>
      <c r="D7" s="2"/>
      <c r="E7" s="25">
        <v>9537725</v>
      </c>
      <c r="F7" s="125"/>
      <c r="G7" s="89">
        <v>4</v>
      </c>
      <c r="H7" s="2"/>
      <c r="I7" s="91">
        <v>70800518</v>
      </c>
      <c r="J7" s="126"/>
      <c r="K7" s="89">
        <v>0</v>
      </c>
      <c r="L7" s="2"/>
      <c r="M7" s="25">
        <v>0</v>
      </c>
      <c r="N7" s="125"/>
      <c r="O7" s="89">
        <v>0</v>
      </c>
      <c r="P7" s="2"/>
      <c r="Q7" s="91">
        <v>0</v>
      </c>
      <c r="R7" s="126"/>
      <c r="S7" s="34">
        <v>2</v>
      </c>
      <c r="T7" s="2"/>
      <c r="U7" s="25">
        <v>17038496</v>
      </c>
      <c r="V7" s="125"/>
      <c r="W7" s="34">
        <v>0</v>
      </c>
      <c r="X7" s="2"/>
      <c r="Y7" s="91">
        <v>0</v>
      </c>
      <c r="Z7" s="126"/>
      <c r="AA7" s="34">
        <v>2</v>
      </c>
      <c r="AB7" s="2"/>
      <c r="AC7" s="25">
        <v>139741830</v>
      </c>
      <c r="AD7" s="125"/>
      <c r="AE7" s="34">
        <v>1</v>
      </c>
      <c r="AF7" s="2"/>
      <c r="AG7" s="25">
        <v>79487895</v>
      </c>
      <c r="AH7" s="128"/>
      <c r="AI7" s="34">
        <v>10</v>
      </c>
      <c r="AJ7" s="2">
        <v>12</v>
      </c>
      <c r="AK7" s="6">
        <v>316606464</v>
      </c>
      <c r="AL7" s="6"/>
    </row>
    <row r="8" spans="1:39" x14ac:dyDescent="0.25">
      <c r="A8" s="104" t="s">
        <v>200</v>
      </c>
      <c r="B8" s="70"/>
      <c r="C8" s="71">
        <v>11</v>
      </c>
      <c r="D8" s="2"/>
      <c r="E8" s="25">
        <v>28459551</v>
      </c>
      <c r="F8" s="125"/>
      <c r="G8" s="89">
        <v>21</v>
      </c>
      <c r="H8" s="2"/>
      <c r="I8" s="91">
        <v>68460279</v>
      </c>
      <c r="J8" s="126"/>
      <c r="K8" s="89">
        <v>3</v>
      </c>
      <c r="L8" s="2"/>
      <c r="M8" s="25">
        <v>2935441</v>
      </c>
      <c r="N8" s="125"/>
      <c r="O8" s="89">
        <v>18</v>
      </c>
      <c r="P8" s="2"/>
      <c r="Q8" s="91">
        <v>503853073</v>
      </c>
      <c r="R8" s="126"/>
      <c r="S8" s="34">
        <v>10</v>
      </c>
      <c r="T8" s="2"/>
      <c r="U8" s="25">
        <v>20924999</v>
      </c>
      <c r="V8" s="125"/>
      <c r="W8" s="34">
        <v>1</v>
      </c>
      <c r="X8" s="2"/>
      <c r="Y8" s="91">
        <v>706150</v>
      </c>
      <c r="Z8" s="126"/>
      <c r="AA8" s="34">
        <v>3</v>
      </c>
      <c r="AB8" s="2"/>
      <c r="AC8" s="25">
        <v>5129611</v>
      </c>
      <c r="AD8" s="125"/>
      <c r="AE8" s="34">
        <v>3</v>
      </c>
      <c r="AF8" s="2"/>
      <c r="AG8" s="25">
        <v>4335844</v>
      </c>
      <c r="AH8" s="128"/>
      <c r="AI8" s="34">
        <v>70</v>
      </c>
      <c r="AJ8" s="2">
        <v>111</v>
      </c>
      <c r="AK8" s="6">
        <v>634804948</v>
      </c>
      <c r="AL8" s="6"/>
    </row>
    <row r="9" spans="1:39" x14ac:dyDescent="0.25">
      <c r="A9" s="104" t="s">
        <v>201</v>
      </c>
      <c r="B9" s="70"/>
      <c r="C9" s="71">
        <v>4</v>
      </c>
      <c r="D9" s="2"/>
      <c r="E9" s="25">
        <v>16937358</v>
      </c>
      <c r="F9" s="125"/>
      <c r="G9" s="89">
        <v>8</v>
      </c>
      <c r="H9" s="2"/>
      <c r="I9" s="91">
        <v>13690504</v>
      </c>
      <c r="J9" s="126"/>
      <c r="K9" s="89">
        <v>1</v>
      </c>
      <c r="L9" s="2"/>
      <c r="M9" s="25">
        <v>1758991</v>
      </c>
      <c r="N9" s="125"/>
      <c r="O9" s="89">
        <v>3</v>
      </c>
      <c r="P9" s="2"/>
      <c r="Q9" s="91">
        <v>3477533</v>
      </c>
      <c r="R9" s="126"/>
      <c r="S9" s="34">
        <v>1</v>
      </c>
      <c r="T9" s="2"/>
      <c r="U9" s="25">
        <v>433259</v>
      </c>
      <c r="V9" s="125"/>
      <c r="W9" s="34">
        <v>0</v>
      </c>
      <c r="X9" s="2"/>
      <c r="Y9" s="91">
        <v>0</v>
      </c>
      <c r="Z9" s="126"/>
      <c r="AA9" s="34">
        <v>3</v>
      </c>
      <c r="AB9" s="2"/>
      <c r="AC9" s="25">
        <v>2219670</v>
      </c>
      <c r="AD9" s="125"/>
      <c r="AE9" s="34">
        <v>1</v>
      </c>
      <c r="AF9" s="2"/>
      <c r="AG9" s="25">
        <v>1317740</v>
      </c>
      <c r="AH9" s="128"/>
      <c r="AI9" s="34">
        <v>21</v>
      </c>
      <c r="AJ9" s="2">
        <v>25</v>
      </c>
      <c r="AK9" s="6">
        <v>39835055</v>
      </c>
      <c r="AL9" s="6"/>
    </row>
    <row r="10" spans="1:39" x14ac:dyDescent="0.25">
      <c r="A10" s="123">
        <v>2013</v>
      </c>
      <c r="B10" s="4"/>
      <c r="C10" s="4">
        <f>C12+C13+C14</f>
        <v>9</v>
      </c>
      <c r="D10" s="4">
        <v>32</v>
      </c>
      <c r="E10" s="95">
        <f>E12+E13+E14</f>
        <v>31960730</v>
      </c>
      <c r="F10" s="96"/>
      <c r="G10" s="97">
        <f>G12+G13+G14</f>
        <v>38</v>
      </c>
      <c r="H10" s="4">
        <v>225</v>
      </c>
      <c r="I10" s="98">
        <f>I12+I13+I14</f>
        <v>140674296</v>
      </c>
      <c r="J10" s="97"/>
      <c r="K10" s="97">
        <f>K12+K13+K14</f>
        <v>6</v>
      </c>
      <c r="L10" s="4">
        <v>7</v>
      </c>
      <c r="M10" s="95">
        <f>M12+M13+M14</f>
        <v>17730460</v>
      </c>
      <c r="N10" s="96"/>
      <c r="O10" s="97">
        <f>O12+O13+O14</f>
        <v>28</v>
      </c>
      <c r="P10" s="4">
        <v>52</v>
      </c>
      <c r="Q10" s="98">
        <f>Q12+Q13+Q14</f>
        <v>148215536</v>
      </c>
      <c r="R10" s="97"/>
      <c r="S10" s="97">
        <f>S12+S13+S14</f>
        <v>17</v>
      </c>
      <c r="T10" s="4">
        <v>49</v>
      </c>
      <c r="U10" s="95">
        <f>U12+U13+U14</f>
        <v>325883095</v>
      </c>
      <c r="V10" s="96"/>
      <c r="W10" s="97">
        <f>W12+W13+W14</f>
        <v>2</v>
      </c>
      <c r="X10" s="4">
        <v>2</v>
      </c>
      <c r="Y10" s="98">
        <f>Y12+Y13+Y14</f>
        <v>8821805</v>
      </c>
      <c r="Z10" s="97"/>
      <c r="AA10" s="97">
        <f>AA12+AA13+AA14</f>
        <v>9</v>
      </c>
      <c r="AB10" s="4">
        <v>9</v>
      </c>
      <c r="AC10" s="95">
        <f>AC12+AC13+AC14</f>
        <v>55567252</v>
      </c>
      <c r="AD10" s="96"/>
      <c r="AE10" s="97">
        <f>AE12+AE13+AE14</f>
        <v>2</v>
      </c>
      <c r="AF10" s="4">
        <v>4</v>
      </c>
      <c r="AG10" s="95">
        <f>AG12+AG13+AG14</f>
        <v>8492021</v>
      </c>
      <c r="AH10" s="115" t="s">
        <v>446</v>
      </c>
      <c r="AI10" s="97">
        <v>111</v>
      </c>
      <c r="AJ10" s="4" t="s">
        <v>445</v>
      </c>
      <c r="AK10" s="116">
        <f>AK12+AK13+AK14</f>
        <v>737345195</v>
      </c>
      <c r="AL10" s="116">
        <f>AK10/380</f>
        <v>1940382.0921052631</v>
      </c>
    </row>
    <row r="11" spans="1:39" x14ac:dyDescent="0.25">
      <c r="A11" s="109" t="s">
        <v>176</v>
      </c>
      <c r="B11" s="106"/>
      <c r="C11" s="106"/>
      <c r="D11" s="106"/>
      <c r="E11" s="110"/>
      <c r="F11" s="107"/>
      <c r="G11" s="108"/>
      <c r="H11" s="106"/>
      <c r="I11" s="111"/>
      <c r="J11" s="108"/>
      <c r="K11" s="108"/>
      <c r="L11" s="106"/>
      <c r="M11" s="110"/>
      <c r="N11" s="107"/>
      <c r="O11" s="108"/>
      <c r="P11" s="106"/>
      <c r="Q11" s="111"/>
      <c r="R11" s="108"/>
      <c r="S11" s="108"/>
      <c r="T11" s="106"/>
      <c r="U11" s="110"/>
      <c r="V11" s="107"/>
      <c r="W11" s="108"/>
      <c r="X11" s="106"/>
      <c r="Y11" s="111"/>
      <c r="Z11" s="108"/>
      <c r="AA11" s="108"/>
      <c r="AB11" s="106"/>
      <c r="AC11" s="110"/>
      <c r="AD11" s="107"/>
      <c r="AE11" s="108"/>
      <c r="AF11" s="106"/>
      <c r="AG11" s="110"/>
      <c r="AH11" s="112"/>
      <c r="AI11" s="108"/>
      <c r="AJ11" s="106"/>
      <c r="AK11" s="113"/>
      <c r="AL11" s="113"/>
    </row>
    <row r="12" spans="1:39" x14ac:dyDescent="0.25">
      <c r="A12" s="104" t="s">
        <v>199</v>
      </c>
      <c r="B12" s="106"/>
      <c r="C12" s="71">
        <v>1</v>
      </c>
      <c r="D12" s="2"/>
      <c r="E12" s="25">
        <v>12905426</v>
      </c>
      <c r="F12" s="107"/>
      <c r="G12" s="89">
        <v>1</v>
      </c>
      <c r="H12" s="2"/>
      <c r="I12" s="91">
        <v>5893660</v>
      </c>
      <c r="J12" s="108"/>
      <c r="K12" s="89">
        <v>1</v>
      </c>
      <c r="L12" s="2"/>
      <c r="M12" s="25">
        <v>13267177</v>
      </c>
      <c r="N12" s="107"/>
      <c r="O12" s="89">
        <v>2</v>
      </c>
      <c r="P12" s="2"/>
      <c r="Q12" s="91">
        <v>54253008</v>
      </c>
      <c r="R12" s="108"/>
      <c r="S12" s="34">
        <v>0</v>
      </c>
      <c r="T12" s="2"/>
      <c r="U12" s="25">
        <v>0</v>
      </c>
      <c r="V12" s="107"/>
      <c r="W12" s="34">
        <v>0</v>
      </c>
      <c r="X12" s="2"/>
      <c r="Y12" s="91">
        <v>0</v>
      </c>
      <c r="Z12" s="108"/>
      <c r="AA12" s="34">
        <v>3</v>
      </c>
      <c r="AB12" s="2"/>
      <c r="AC12" s="25">
        <v>44466104</v>
      </c>
      <c r="AD12" s="107"/>
      <c r="AE12" s="34">
        <v>0</v>
      </c>
      <c r="AF12" s="2"/>
      <c r="AG12" s="25">
        <v>0</v>
      </c>
      <c r="AH12" s="112"/>
      <c r="AI12" s="34">
        <v>8</v>
      </c>
      <c r="AJ12" s="2">
        <v>9</v>
      </c>
      <c r="AK12" s="6">
        <v>130785375</v>
      </c>
      <c r="AL12" s="6"/>
    </row>
    <row r="13" spans="1:39" x14ac:dyDescent="0.25">
      <c r="A13" s="104" t="s">
        <v>200</v>
      </c>
      <c r="B13" s="106"/>
      <c r="C13" s="71">
        <v>6</v>
      </c>
      <c r="D13" s="2"/>
      <c r="E13" s="25">
        <v>13151928</v>
      </c>
      <c r="F13" s="107"/>
      <c r="G13" s="89">
        <v>25</v>
      </c>
      <c r="H13" s="2"/>
      <c r="I13" s="91">
        <v>109562935</v>
      </c>
      <c r="J13" s="108"/>
      <c r="K13" s="89">
        <v>5</v>
      </c>
      <c r="L13" s="2"/>
      <c r="M13" s="25">
        <v>4463283</v>
      </c>
      <c r="N13" s="107"/>
      <c r="O13" s="89">
        <v>19</v>
      </c>
      <c r="P13" s="2"/>
      <c r="Q13" s="91">
        <v>83838350</v>
      </c>
      <c r="R13" s="108"/>
      <c r="S13" s="34">
        <v>16</v>
      </c>
      <c r="T13" s="2"/>
      <c r="U13" s="25">
        <v>290311300</v>
      </c>
      <c r="V13" s="107"/>
      <c r="W13" s="34">
        <v>1</v>
      </c>
      <c r="X13" s="2"/>
      <c r="Y13" s="91">
        <v>6972072</v>
      </c>
      <c r="Z13" s="108"/>
      <c r="AA13" s="34">
        <v>2</v>
      </c>
      <c r="AB13" s="2"/>
      <c r="AC13" s="25">
        <v>2781599</v>
      </c>
      <c r="AD13" s="107"/>
      <c r="AE13" s="34">
        <v>1</v>
      </c>
      <c r="AF13" s="2"/>
      <c r="AG13" s="25">
        <v>6500000</v>
      </c>
      <c r="AH13" s="112"/>
      <c r="AI13" s="34">
        <v>75</v>
      </c>
      <c r="AJ13" s="2">
        <v>178</v>
      </c>
      <c r="AK13" s="6">
        <v>517581468</v>
      </c>
      <c r="AL13" s="6"/>
    </row>
    <row r="14" spans="1:39" x14ac:dyDescent="0.25">
      <c r="A14" s="104" t="s">
        <v>201</v>
      </c>
      <c r="B14" s="106"/>
      <c r="C14" s="71">
        <v>2</v>
      </c>
      <c r="D14" s="2"/>
      <c r="E14" s="25">
        <v>5903376</v>
      </c>
      <c r="F14" s="107"/>
      <c r="G14" s="89">
        <v>12</v>
      </c>
      <c r="H14" s="2"/>
      <c r="I14" s="91">
        <v>25217701</v>
      </c>
      <c r="J14" s="108"/>
      <c r="K14" s="89">
        <v>0</v>
      </c>
      <c r="L14" s="2"/>
      <c r="M14" s="25">
        <v>0</v>
      </c>
      <c r="N14" s="107"/>
      <c r="O14" s="89">
        <v>7</v>
      </c>
      <c r="P14" s="2"/>
      <c r="Q14" s="91">
        <v>10124178</v>
      </c>
      <c r="R14" s="108"/>
      <c r="S14" s="34">
        <v>1</v>
      </c>
      <c r="T14" s="2"/>
      <c r="U14" s="25">
        <v>35571795</v>
      </c>
      <c r="V14" s="107"/>
      <c r="W14" s="34">
        <v>1</v>
      </c>
      <c r="X14" s="2"/>
      <c r="Y14" s="91">
        <v>1849733</v>
      </c>
      <c r="Z14" s="108"/>
      <c r="AA14" s="34">
        <v>4</v>
      </c>
      <c r="AB14" s="2"/>
      <c r="AC14" s="25">
        <v>8319549</v>
      </c>
      <c r="AD14" s="107"/>
      <c r="AE14" s="34">
        <v>1</v>
      </c>
      <c r="AF14" s="2"/>
      <c r="AG14" s="25">
        <v>1992021</v>
      </c>
      <c r="AH14" s="112"/>
      <c r="AI14" s="34">
        <v>28</v>
      </c>
      <c r="AJ14" s="2">
        <v>193</v>
      </c>
      <c r="AK14" s="6">
        <v>88978352</v>
      </c>
      <c r="AL14" s="6"/>
    </row>
    <row r="15" spans="1:39" x14ac:dyDescent="0.25">
      <c r="A15" s="114">
        <v>2014</v>
      </c>
      <c r="B15" s="4">
        <v>2</v>
      </c>
      <c r="C15" s="4">
        <v>3</v>
      </c>
      <c r="D15" s="4" t="s">
        <v>217</v>
      </c>
      <c r="E15" s="95">
        <v>16314757</v>
      </c>
      <c r="F15" s="96">
        <v>4</v>
      </c>
      <c r="G15" s="97">
        <v>56</v>
      </c>
      <c r="H15" s="4" t="s">
        <v>218</v>
      </c>
      <c r="I15" s="98">
        <v>343280207</v>
      </c>
      <c r="J15" s="97">
        <v>4</v>
      </c>
      <c r="K15" s="97">
        <v>8</v>
      </c>
      <c r="L15" s="4" t="s">
        <v>219</v>
      </c>
      <c r="M15" s="95">
        <v>27381239</v>
      </c>
      <c r="N15" s="96">
        <v>4</v>
      </c>
      <c r="O15" s="97">
        <v>27</v>
      </c>
      <c r="P15" s="4" t="s">
        <v>220</v>
      </c>
      <c r="Q15" s="98">
        <v>189824487</v>
      </c>
      <c r="R15" s="97">
        <v>8</v>
      </c>
      <c r="S15" s="97">
        <v>13</v>
      </c>
      <c r="T15" s="4" t="s">
        <v>221</v>
      </c>
      <c r="U15" s="95">
        <v>41599742</v>
      </c>
      <c r="V15" s="96">
        <v>1</v>
      </c>
      <c r="W15" s="97">
        <v>1</v>
      </c>
      <c r="X15" s="4" t="s">
        <v>193</v>
      </c>
      <c r="Y15" s="98">
        <v>1110000</v>
      </c>
      <c r="Z15" s="97">
        <v>3</v>
      </c>
      <c r="AA15" s="97">
        <v>7</v>
      </c>
      <c r="AB15" s="4" t="s">
        <v>222</v>
      </c>
      <c r="AC15" s="95">
        <v>28947674</v>
      </c>
      <c r="AD15" s="96">
        <v>2</v>
      </c>
      <c r="AE15" s="97">
        <v>4</v>
      </c>
      <c r="AF15" s="4" t="s">
        <v>210</v>
      </c>
      <c r="AG15" s="95">
        <v>35674041</v>
      </c>
      <c r="AH15" s="115" t="s">
        <v>447</v>
      </c>
      <c r="AI15" s="97">
        <v>119</v>
      </c>
      <c r="AJ15" s="4" t="s">
        <v>223</v>
      </c>
      <c r="AK15" s="116">
        <v>684132147</v>
      </c>
      <c r="AL15" s="95">
        <f>AK15/152</f>
        <v>4500869.3881578948</v>
      </c>
      <c r="AM15" s="131"/>
    </row>
    <row r="16" spans="1:39" x14ac:dyDescent="0.25">
      <c r="A16" s="109" t="s">
        <v>176</v>
      </c>
      <c r="B16" s="106"/>
      <c r="C16" s="106"/>
      <c r="D16" s="106"/>
      <c r="E16" s="110"/>
      <c r="F16" s="107"/>
      <c r="G16" s="108"/>
      <c r="H16" s="106"/>
      <c r="I16" s="111"/>
      <c r="J16" s="108"/>
      <c r="K16" s="108"/>
      <c r="L16" s="106"/>
      <c r="M16" s="110"/>
      <c r="N16" s="107"/>
      <c r="O16" s="108"/>
      <c r="P16" s="106"/>
      <c r="Q16" s="111"/>
      <c r="R16" s="108"/>
      <c r="S16" s="108"/>
      <c r="T16" s="106"/>
      <c r="U16" s="110"/>
      <c r="V16" s="107"/>
      <c r="W16" s="108"/>
      <c r="X16" s="106"/>
      <c r="Y16" s="111"/>
      <c r="Z16" s="108"/>
      <c r="AA16" s="108"/>
      <c r="AB16" s="106"/>
      <c r="AC16" s="110"/>
      <c r="AD16" s="107"/>
      <c r="AE16" s="108"/>
      <c r="AF16" s="106"/>
      <c r="AG16" s="110"/>
      <c r="AH16" s="112"/>
      <c r="AI16" s="108"/>
      <c r="AJ16" s="106"/>
      <c r="AK16" s="113"/>
      <c r="AL16" s="113"/>
    </row>
    <row r="17" spans="1:39" x14ac:dyDescent="0.25">
      <c r="A17" s="104" t="s">
        <v>199</v>
      </c>
      <c r="B17" s="106"/>
      <c r="C17" s="2">
        <v>1</v>
      </c>
      <c r="D17" s="2">
        <v>1</v>
      </c>
      <c r="E17" s="25">
        <v>14422044</v>
      </c>
      <c r="F17" s="107"/>
      <c r="G17" s="34">
        <v>3</v>
      </c>
      <c r="H17" s="2">
        <v>3</v>
      </c>
      <c r="I17" s="91">
        <v>34725538</v>
      </c>
      <c r="J17" s="108"/>
      <c r="K17" s="34">
        <v>3</v>
      </c>
      <c r="L17" s="2">
        <v>5</v>
      </c>
      <c r="M17" s="25">
        <v>19802986</v>
      </c>
      <c r="N17" s="107"/>
      <c r="O17" s="34">
        <v>4</v>
      </c>
      <c r="P17" s="2">
        <v>5</v>
      </c>
      <c r="Q17" s="91">
        <v>92765324</v>
      </c>
      <c r="R17" s="108"/>
      <c r="S17" s="34">
        <v>0</v>
      </c>
      <c r="T17" s="2">
        <v>0</v>
      </c>
      <c r="U17" s="25">
        <v>0</v>
      </c>
      <c r="V17" s="107"/>
      <c r="W17" s="34">
        <v>0</v>
      </c>
      <c r="X17" s="2">
        <v>0</v>
      </c>
      <c r="Y17" s="91">
        <v>0</v>
      </c>
      <c r="Z17" s="108"/>
      <c r="AA17" s="34">
        <v>3</v>
      </c>
      <c r="AB17" s="2">
        <v>7</v>
      </c>
      <c r="AC17" s="25">
        <v>22788837</v>
      </c>
      <c r="AD17" s="107"/>
      <c r="AE17" s="34">
        <v>2</v>
      </c>
      <c r="AF17" s="2">
        <v>2</v>
      </c>
      <c r="AG17" s="25">
        <v>23046612</v>
      </c>
      <c r="AH17" s="112"/>
      <c r="AI17" s="34">
        <v>16</v>
      </c>
      <c r="AJ17" s="2">
        <v>23</v>
      </c>
      <c r="AK17" s="6">
        <f>E17+I17+M17+Q17+U17+Y17+AC17+AG17</f>
        <v>207551341</v>
      </c>
      <c r="AL17" s="6">
        <f>AK17/23</f>
        <v>9023971.3478260878</v>
      </c>
      <c r="AM17" s="31"/>
    </row>
    <row r="18" spans="1:39" x14ac:dyDescent="0.25">
      <c r="A18" s="104" t="s">
        <v>200</v>
      </c>
      <c r="B18" s="106"/>
      <c r="C18" s="2">
        <v>1</v>
      </c>
      <c r="D18" s="2">
        <v>1</v>
      </c>
      <c r="E18" s="25">
        <v>482673</v>
      </c>
      <c r="F18" s="107"/>
      <c r="G18" s="34">
        <v>32</v>
      </c>
      <c r="H18" s="2">
        <v>38</v>
      </c>
      <c r="I18" s="91">
        <v>236505702</v>
      </c>
      <c r="J18" s="108"/>
      <c r="K18" s="34">
        <v>5</v>
      </c>
      <c r="L18" s="2">
        <v>5</v>
      </c>
      <c r="M18" s="25">
        <v>7578253</v>
      </c>
      <c r="N18" s="107"/>
      <c r="O18" s="34">
        <v>18</v>
      </c>
      <c r="P18" s="2">
        <v>27</v>
      </c>
      <c r="Q18" s="91">
        <v>69418191</v>
      </c>
      <c r="R18" s="108"/>
      <c r="S18" s="34">
        <v>11</v>
      </c>
      <c r="T18" s="2">
        <v>12</v>
      </c>
      <c r="U18" s="25">
        <v>39577297</v>
      </c>
      <c r="V18" s="107"/>
      <c r="W18" s="34">
        <v>0</v>
      </c>
      <c r="X18" s="2">
        <v>0</v>
      </c>
      <c r="Y18" s="91">
        <v>0</v>
      </c>
      <c r="Z18" s="108"/>
      <c r="AA18" s="34">
        <v>2</v>
      </c>
      <c r="AB18" s="2">
        <v>2</v>
      </c>
      <c r="AC18" s="25">
        <v>4703904</v>
      </c>
      <c r="AD18" s="107"/>
      <c r="AE18" s="34">
        <v>0</v>
      </c>
      <c r="AF18" s="2">
        <v>0</v>
      </c>
      <c r="AG18" s="25">
        <v>0</v>
      </c>
      <c r="AH18" s="112"/>
      <c r="AI18" s="34">
        <v>69</v>
      </c>
      <c r="AJ18" s="2">
        <v>85</v>
      </c>
      <c r="AK18" s="6">
        <v>358266020</v>
      </c>
      <c r="AL18" s="6">
        <f>AK18/85</f>
        <v>4214894.3529411769</v>
      </c>
    </row>
    <row r="19" spans="1:39" x14ac:dyDescent="0.25">
      <c r="A19" s="104" t="s">
        <v>201</v>
      </c>
      <c r="B19" s="106"/>
      <c r="C19" s="2">
        <v>1</v>
      </c>
      <c r="D19" s="2">
        <v>1</v>
      </c>
      <c r="E19" s="25">
        <v>1410040</v>
      </c>
      <c r="F19" s="107"/>
      <c r="G19" s="34">
        <v>21</v>
      </c>
      <c r="H19" s="2">
        <v>30</v>
      </c>
      <c r="I19" s="91">
        <v>72048967</v>
      </c>
      <c r="J19" s="108"/>
      <c r="K19" s="34">
        <v>0</v>
      </c>
      <c r="L19" s="2">
        <v>0</v>
      </c>
      <c r="M19" s="25">
        <v>0</v>
      </c>
      <c r="N19" s="107"/>
      <c r="O19" s="34">
        <v>5</v>
      </c>
      <c r="P19" s="2">
        <v>5</v>
      </c>
      <c r="Q19" s="91">
        <v>27640972</v>
      </c>
      <c r="R19" s="108"/>
      <c r="S19" s="34">
        <v>2</v>
      </c>
      <c r="T19" s="2">
        <v>2</v>
      </c>
      <c r="U19" s="25">
        <v>2022445</v>
      </c>
      <c r="V19" s="107"/>
      <c r="W19" s="34">
        <v>1</v>
      </c>
      <c r="X19" s="2">
        <v>1</v>
      </c>
      <c r="Y19" s="91">
        <v>1110000</v>
      </c>
      <c r="Z19" s="108"/>
      <c r="AA19" s="34">
        <v>2</v>
      </c>
      <c r="AB19" s="2">
        <v>3</v>
      </c>
      <c r="AC19" s="25">
        <v>1454933</v>
      </c>
      <c r="AD19" s="107"/>
      <c r="AE19" s="34">
        <v>2</v>
      </c>
      <c r="AF19" s="2">
        <v>2</v>
      </c>
      <c r="AG19" s="25">
        <v>12627429</v>
      </c>
      <c r="AH19" s="112"/>
      <c r="AI19" s="34">
        <v>34</v>
      </c>
      <c r="AJ19" s="2">
        <v>44</v>
      </c>
      <c r="AK19" s="6">
        <v>118314786</v>
      </c>
      <c r="AL19" s="6">
        <f>AK19/44</f>
        <v>2688972.4090909092</v>
      </c>
    </row>
    <row r="20" spans="1:39" x14ac:dyDescent="0.25">
      <c r="A20" s="114">
        <v>2015</v>
      </c>
      <c r="B20" s="4">
        <v>3</v>
      </c>
      <c r="C20" s="4">
        <v>5</v>
      </c>
      <c r="D20" s="94" t="s">
        <v>189</v>
      </c>
      <c r="E20" s="95">
        <v>14188632</v>
      </c>
      <c r="F20" s="96">
        <v>3</v>
      </c>
      <c r="G20" s="97">
        <v>38</v>
      </c>
      <c r="H20" s="94" t="s">
        <v>188</v>
      </c>
      <c r="I20" s="98">
        <v>190610922</v>
      </c>
      <c r="J20" s="97">
        <v>3</v>
      </c>
      <c r="K20" s="97">
        <v>8</v>
      </c>
      <c r="L20" s="94" t="s">
        <v>190</v>
      </c>
      <c r="M20" s="95">
        <v>23936091</v>
      </c>
      <c r="N20" s="96">
        <v>2</v>
      </c>
      <c r="O20" s="97">
        <v>13</v>
      </c>
      <c r="P20" s="94" t="s">
        <v>191</v>
      </c>
      <c r="Q20" s="98">
        <v>14105082</v>
      </c>
      <c r="R20" s="97">
        <v>7</v>
      </c>
      <c r="S20" s="97">
        <v>14</v>
      </c>
      <c r="T20" s="99" t="s">
        <v>192</v>
      </c>
      <c r="U20" s="95">
        <v>90764691</v>
      </c>
      <c r="V20" s="96">
        <v>1</v>
      </c>
      <c r="W20" s="97">
        <v>1</v>
      </c>
      <c r="X20" s="94" t="s">
        <v>193</v>
      </c>
      <c r="Y20" s="98">
        <v>820000</v>
      </c>
      <c r="Z20" s="97">
        <v>1</v>
      </c>
      <c r="AA20" s="97">
        <v>3</v>
      </c>
      <c r="AB20" s="94" t="s">
        <v>194</v>
      </c>
      <c r="AC20" s="95">
        <v>2387895</v>
      </c>
      <c r="AD20" s="96">
        <v>2</v>
      </c>
      <c r="AE20" s="97">
        <v>11</v>
      </c>
      <c r="AF20" s="94" t="s">
        <v>195</v>
      </c>
      <c r="AG20" s="95">
        <v>30762615</v>
      </c>
      <c r="AH20" s="115" t="s">
        <v>448</v>
      </c>
      <c r="AI20" s="97">
        <f>C20+G20+K20+O20+S20+W20+AA20+AE20</f>
        <v>93</v>
      </c>
      <c r="AJ20" s="94" t="s">
        <v>196</v>
      </c>
      <c r="AK20" s="116">
        <f>E20+I20+M20+Q20+U20+Y20+AC20+AG20</f>
        <v>367575928</v>
      </c>
      <c r="AL20" s="116">
        <f>AK20/273</f>
        <v>1346431.9706959706</v>
      </c>
    </row>
    <row r="21" spans="1:39" x14ac:dyDescent="0.25">
      <c r="A21" s="101" t="s">
        <v>176</v>
      </c>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3"/>
      <c r="Z21" s="102"/>
      <c r="AA21" s="102"/>
      <c r="AB21" s="102"/>
      <c r="AC21" s="103"/>
      <c r="AD21" s="102"/>
      <c r="AE21" s="102"/>
      <c r="AF21" s="102"/>
      <c r="AG21" s="103"/>
      <c r="AH21" s="102"/>
      <c r="AI21" s="102"/>
      <c r="AJ21" s="102"/>
      <c r="AK21" s="102"/>
      <c r="AL21" s="102"/>
    </row>
    <row r="22" spans="1:39" x14ac:dyDescent="0.25">
      <c r="A22" s="104" t="s">
        <v>199</v>
      </c>
      <c r="B22" s="106"/>
      <c r="C22" s="2">
        <v>0</v>
      </c>
      <c r="D22" s="2">
        <v>0</v>
      </c>
      <c r="E22" s="25">
        <v>0</v>
      </c>
      <c r="F22" s="107"/>
      <c r="G22" s="2">
        <v>0</v>
      </c>
      <c r="H22" s="2">
        <v>0</v>
      </c>
      <c r="I22" s="91">
        <v>0</v>
      </c>
      <c r="J22" s="108"/>
      <c r="K22" s="2">
        <v>1</v>
      </c>
      <c r="L22" s="88" t="s">
        <v>193</v>
      </c>
      <c r="M22" s="25">
        <v>11126389</v>
      </c>
      <c r="N22" s="107"/>
      <c r="O22" s="2">
        <v>0</v>
      </c>
      <c r="P22" s="2">
        <v>0</v>
      </c>
      <c r="Q22" s="91">
        <v>0</v>
      </c>
      <c r="R22" s="108"/>
      <c r="S22" s="2">
        <v>0</v>
      </c>
      <c r="T22" s="2">
        <v>0</v>
      </c>
      <c r="U22" s="25">
        <v>0</v>
      </c>
      <c r="V22" s="107"/>
      <c r="W22" s="2">
        <v>0</v>
      </c>
      <c r="X22" s="88">
        <v>0</v>
      </c>
      <c r="Y22" s="91">
        <v>0</v>
      </c>
      <c r="Z22" s="108"/>
      <c r="AA22" s="2">
        <v>0</v>
      </c>
      <c r="AB22" s="2">
        <v>0</v>
      </c>
      <c r="AC22" s="25">
        <v>0</v>
      </c>
      <c r="AD22" s="107"/>
      <c r="AE22" s="2">
        <v>2</v>
      </c>
      <c r="AF22" s="2" t="s">
        <v>208</v>
      </c>
      <c r="AG22" s="105">
        <v>17779732</v>
      </c>
      <c r="AH22" s="108"/>
      <c r="AI22" s="2">
        <f>C22+G22+K22+O22+S22+W22+AA22+AE22</f>
        <v>3</v>
      </c>
      <c r="AJ22" s="88" t="s">
        <v>194</v>
      </c>
      <c r="AK22" s="6">
        <f>E22+I22+M22+Q22+U22+Y22+AC22+AG22</f>
        <v>28906121</v>
      </c>
      <c r="AL22" s="6">
        <f>AK22/3</f>
        <v>9635373.666666666</v>
      </c>
    </row>
    <row r="23" spans="1:39" x14ac:dyDescent="0.25">
      <c r="A23" s="104" t="s">
        <v>200</v>
      </c>
      <c r="B23" s="106"/>
      <c r="C23" s="2">
        <v>4</v>
      </c>
      <c r="D23" s="88" t="s">
        <v>204</v>
      </c>
      <c r="E23" s="25">
        <v>13183836</v>
      </c>
      <c r="F23" s="107"/>
      <c r="G23" s="2">
        <v>26</v>
      </c>
      <c r="H23" s="88" t="s">
        <v>205</v>
      </c>
      <c r="I23" s="91">
        <v>168416526</v>
      </c>
      <c r="J23" s="108"/>
      <c r="K23" s="2">
        <v>5</v>
      </c>
      <c r="L23" s="88" t="s">
        <v>207</v>
      </c>
      <c r="M23" s="25">
        <v>7987892</v>
      </c>
      <c r="N23" s="107"/>
      <c r="O23" s="2">
        <v>10</v>
      </c>
      <c r="P23" s="88" t="s">
        <v>209</v>
      </c>
      <c r="Q23" s="91">
        <v>11504967</v>
      </c>
      <c r="R23" s="108"/>
      <c r="S23" s="2">
        <v>12</v>
      </c>
      <c r="T23" s="88" t="s">
        <v>211</v>
      </c>
      <c r="U23" s="25">
        <v>87140780</v>
      </c>
      <c r="V23" s="107"/>
      <c r="W23" s="2">
        <v>0</v>
      </c>
      <c r="X23" s="88">
        <v>0</v>
      </c>
      <c r="Y23" s="91">
        <v>0</v>
      </c>
      <c r="Z23" s="108"/>
      <c r="AA23" s="2">
        <v>1</v>
      </c>
      <c r="AB23" s="88" t="s">
        <v>193</v>
      </c>
      <c r="AC23" s="25">
        <v>1374120</v>
      </c>
      <c r="AD23" s="107"/>
      <c r="AE23" s="2">
        <v>6</v>
      </c>
      <c r="AF23" s="2" t="s">
        <v>213</v>
      </c>
      <c r="AG23" s="105">
        <v>8403279</v>
      </c>
      <c r="AH23" s="108"/>
      <c r="AI23" s="2">
        <v>64</v>
      </c>
      <c r="AJ23" s="88" t="s">
        <v>214</v>
      </c>
      <c r="AK23" s="6">
        <f>E23+I23+M23+Q23+U23+Y23+AC23+AG23</f>
        <v>298011400</v>
      </c>
      <c r="AL23" s="6">
        <f>AK23/151</f>
        <v>1973585.4304635762</v>
      </c>
    </row>
    <row r="24" spans="1:39" x14ac:dyDescent="0.25">
      <c r="A24" s="104" t="s">
        <v>201</v>
      </c>
      <c r="B24" s="106"/>
      <c r="C24" s="2">
        <v>1</v>
      </c>
      <c r="D24" s="88" t="s">
        <v>193</v>
      </c>
      <c r="E24" s="25">
        <v>1004796</v>
      </c>
      <c r="F24" s="107"/>
      <c r="G24" s="2">
        <v>12</v>
      </c>
      <c r="H24" s="88" t="s">
        <v>206</v>
      </c>
      <c r="I24" s="91">
        <v>22194396</v>
      </c>
      <c r="J24" s="108"/>
      <c r="K24" s="2">
        <v>2</v>
      </c>
      <c r="L24" s="88" t="s">
        <v>208</v>
      </c>
      <c r="M24" s="25">
        <v>4821810</v>
      </c>
      <c r="N24" s="107"/>
      <c r="O24" s="2">
        <v>3</v>
      </c>
      <c r="P24" s="88" t="s">
        <v>210</v>
      </c>
      <c r="Q24" s="91">
        <v>2600115</v>
      </c>
      <c r="R24" s="108"/>
      <c r="S24" s="2">
        <v>2</v>
      </c>
      <c r="T24" s="88" t="s">
        <v>212</v>
      </c>
      <c r="U24" s="25">
        <v>3623911</v>
      </c>
      <c r="V24" s="107"/>
      <c r="W24" s="2">
        <v>1</v>
      </c>
      <c r="X24" s="88" t="s">
        <v>193</v>
      </c>
      <c r="Y24" s="91">
        <v>820000</v>
      </c>
      <c r="Z24" s="108"/>
      <c r="AA24" s="2">
        <v>2</v>
      </c>
      <c r="AB24" s="88" t="s">
        <v>208</v>
      </c>
      <c r="AC24" s="25">
        <v>1013775</v>
      </c>
      <c r="AD24" s="107"/>
      <c r="AE24" s="2">
        <v>3</v>
      </c>
      <c r="AF24" s="2" t="s">
        <v>194</v>
      </c>
      <c r="AG24" s="105">
        <v>4579604</v>
      </c>
      <c r="AH24" s="108"/>
      <c r="AI24" s="2">
        <v>26</v>
      </c>
      <c r="AJ24" s="88" t="s">
        <v>215</v>
      </c>
      <c r="AK24" s="6">
        <f>E24+I24+M24+Q24+U24+Y24+AC24+AG24</f>
        <v>40658407</v>
      </c>
      <c r="AL24" s="6">
        <f>AK24/119</f>
        <v>341667.28571428574</v>
      </c>
    </row>
    <row r="25" spans="1:39" x14ac:dyDescent="0.25">
      <c r="A25" s="114">
        <v>2016</v>
      </c>
      <c r="B25" s="4">
        <v>2</v>
      </c>
      <c r="C25" s="4">
        <f>C27+C28+C29</f>
        <v>5</v>
      </c>
      <c r="D25" s="94">
        <f>D27+D28+D29</f>
        <v>5</v>
      </c>
      <c r="E25" s="95">
        <f>E27+E28+E29</f>
        <v>7870028</v>
      </c>
      <c r="F25" s="96">
        <v>3</v>
      </c>
      <c r="G25" s="97">
        <f>G27+G28+G29</f>
        <v>46</v>
      </c>
      <c r="H25" s="94" t="s">
        <v>608</v>
      </c>
      <c r="I25" s="98">
        <f>I27+I28+I29</f>
        <v>289295438</v>
      </c>
      <c r="J25" s="97">
        <v>1</v>
      </c>
      <c r="K25" s="97">
        <f>K27+K28+K29</f>
        <v>5</v>
      </c>
      <c r="L25" s="94">
        <f>L27+L28+L29</f>
        <v>6</v>
      </c>
      <c r="M25" s="95">
        <f>M27+M28+M29</f>
        <v>4457918</v>
      </c>
      <c r="N25" s="96">
        <v>3</v>
      </c>
      <c r="O25" s="97">
        <f>O27+O28+O29</f>
        <v>16</v>
      </c>
      <c r="P25" s="94">
        <f>P27+P28+P29</f>
        <v>27</v>
      </c>
      <c r="Q25" s="98">
        <f>Q27+Q28+Q29</f>
        <v>35441604</v>
      </c>
      <c r="R25" s="97">
        <v>9</v>
      </c>
      <c r="S25" s="97">
        <f>S27+S28+S29</f>
        <v>18</v>
      </c>
      <c r="T25" s="99" t="s">
        <v>609</v>
      </c>
      <c r="U25" s="95">
        <f>U27+U28+U29</f>
        <v>283043980</v>
      </c>
      <c r="V25" s="96">
        <v>1</v>
      </c>
      <c r="W25" s="97">
        <f>W27+W28+W29</f>
        <v>2</v>
      </c>
      <c r="X25" s="94">
        <f>X27+X28+X29</f>
        <v>20</v>
      </c>
      <c r="Y25" s="98">
        <f>Y27+Y28+Y29</f>
        <v>10000000</v>
      </c>
      <c r="Z25" s="97">
        <v>2</v>
      </c>
      <c r="AA25" s="97">
        <f>AA27+AA28+AA29</f>
        <v>3</v>
      </c>
      <c r="AB25" s="94" t="s">
        <v>529</v>
      </c>
      <c r="AC25" s="95">
        <f>AC27+AC28+AC29</f>
        <v>11777007</v>
      </c>
      <c r="AD25" s="96">
        <v>1</v>
      </c>
      <c r="AE25" s="97">
        <f>AE27+AE28+AE29</f>
        <v>3</v>
      </c>
      <c r="AF25" s="94" t="s">
        <v>610</v>
      </c>
      <c r="AG25" s="95">
        <f>AG27+AG28+AG29</f>
        <v>6740253</v>
      </c>
      <c r="AH25" s="115" t="s">
        <v>544</v>
      </c>
      <c r="AI25" s="97">
        <f>AI27+AI28+AI29</f>
        <v>98</v>
      </c>
      <c r="AJ25" s="94" t="s">
        <v>611</v>
      </c>
      <c r="AK25" s="116">
        <f>AK27+AK28+AK29</f>
        <v>648626228</v>
      </c>
      <c r="AL25" s="116">
        <f>AK25/146</f>
        <v>4442645.3972602738</v>
      </c>
    </row>
    <row r="26" spans="1:39" x14ac:dyDescent="0.25">
      <c r="A26" s="101" t="s">
        <v>176</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3"/>
      <c r="Z26" s="102"/>
      <c r="AA26" s="102"/>
      <c r="AB26" s="102"/>
      <c r="AC26" s="103"/>
      <c r="AD26" s="102"/>
      <c r="AE26" s="102"/>
      <c r="AF26" s="102"/>
      <c r="AG26" s="103"/>
      <c r="AH26" s="102"/>
      <c r="AI26" s="102"/>
      <c r="AJ26" s="102"/>
      <c r="AK26" s="102"/>
      <c r="AL26" s="102"/>
    </row>
    <row r="27" spans="1:39" x14ac:dyDescent="0.25">
      <c r="A27" s="104" t="s">
        <v>199</v>
      </c>
      <c r="B27" s="106"/>
      <c r="C27" s="2">
        <v>0</v>
      </c>
      <c r="D27" s="2">
        <v>0</v>
      </c>
      <c r="E27" s="25">
        <v>0</v>
      </c>
      <c r="F27" s="107"/>
      <c r="G27" s="2">
        <v>2</v>
      </c>
      <c r="H27" s="2">
        <v>2</v>
      </c>
      <c r="I27" s="91">
        <v>117225945</v>
      </c>
      <c r="J27" s="108"/>
      <c r="K27" s="2">
        <v>0</v>
      </c>
      <c r="L27" s="333">
        <v>0</v>
      </c>
      <c r="M27" s="25">
        <v>0</v>
      </c>
      <c r="N27" s="107"/>
      <c r="O27" s="2">
        <v>0</v>
      </c>
      <c r="P27" s="2">
        <v>0</v>
      </c>
      <c r="Q27" s="91">
        <v>0</v>
      </c>
      <c r="R27" s="108"/>
      <c r="S27" s="2">
        <v>0</v>
      </c>
      <c r="T27" s="2">
        <v>0</v>
      </c>
      <c r="U27" s="25">
        <v>0</v>
      </c>
      <c r="V27" s="107"/>
      <c r="W27" s="2">
        <v>0</v>
      </c>
      <c r="X27" s="333">
        <v>0</v>
      </c>
      <c r="Y27" s="91">
        <v>0</v>
      </c>
      <c r="Z27" s="108"/>
      <c r="AA27" s="2">
        <v>1</v>
      </c>
      <c r="AB27" s="350" t="s">
        <v>525</v>
      </c>
      <c r="AC27" s="25">
        <v>7016282</v>
      </c>
      <c r="AD27" s="107"/>
      <c r="AE27" s="2">
        <v>0</v>
      </c>
      <c r="AF27" s="2">
        <v>0</v>
      </c>
      <c r="AG27" s="105">
        <v>0</v>
      </c>
      <c r="AH27" s="108"/>
      <c r="AI27" s="2">
        <f>C27+G27+K27+O27+S27+W27+AA27+AE27</f>
        <v>3</v>
      </c>
      <c r="AJ27" s="333" t="s">
        <v>529</v>
      </c>
      <c r="AK27" s="6">
        <f>E27+I27+M27+Q27+U27+Y27+AC27+AG27</f>
        <v>124242227</v>
      </c>
      <c r="AL27" s="6">
        <f>AK27/4</f>
        <v>31060556.75</v>
      </c>
    </row>
    <row r="28" spans="1:39" x14ac:dyDescent="0.25">
      <c r="A28" s="104" t="s">
        <v>200</v>
      </c>
      <c r="B28" s="106"/>
      <c r="C28" s="2">
        <v>2</v>
      </c>
      <c r="D28" s="333">
        <v>2</v>
      </c>
      <c r="E28" s="25">
        <v>1198373</v>
      </c>
      <c r="F28" s="107"/>
      <c r="G28" s="2">
        <v>28</v>
      </c>
      <c r="H28" s="333" t="s">
        <v>527</v>
      </c>
      <c r="I28" s="91">
        <v>126864073</v>
      </c>
      <c r="J28" s="108"/>
      <c r="K28" s="2">
        <v>4</v>
      </c>
      <c r="L28" s="333">
        <v>5</v>
      </c>
      <c r="M28" s="25">
        <v>3812918</v>
      </c>
      <c r="N28" s="107"/>
      <c r="O28" s="2">
        <v>13</v>
      </c>
      <c r="P28" s="333">
        <v>23</v>
      </c>
      <c r="Q28" s="91">
        <v>30187483</v>
      </c>
      <c r="R28" s="108"/>
      <c r="S28" s="2">
        <v>17</v>
      </c>
      <c r="T28" s="138" t="s">
        <v>526</v>
      </c>
      <c r="U28" s="25">
        <v>183043980</v>
      </c>
      <c r="V28" s="107"/>
      <c r="W28" s="2">
        <v>1</v>
      </c>
      <c r="X28" s="333">
        <v>18</v>
      </c>
      <c r="Y28" s="91">
        <v>6000000</v>
      </c>
      <c r="Z28" s="108"/>
      <c r="AA28" s="2">
        <v>1</v>
      </c>
      <c r="AB28" s="333">
        <v>1</v>
      </c>
      <c r="AC28" s="25">
        <v>998800</v>
      </c>
      <c r="AD28" s="107"/>
      <c r="AE28" s="2">
        <v>2</v>
      </c>
      <c r="AF28" s="350" t="s">
        <v>212</v>
      </c>
      <c r="AG28" s="105">
        <v>6496573</v>
      </c>
      <c r="AH28" s="108"/>
      <c r="AI28" s="2">
        <f>C28+G28+K28+O28+S28+W28+AA28+AE28</f>
        <v>68</v>
      </c>
      <c r="AJ28" s="333" t="s">
        <v>530</v>
      </c>
      <c r="AK28" s="6">
        <f>E28+I28+M28+Q28+U28+Y28+AC28+AG28</f>
        <v>358602200</v>
      </c>
      <c r="AL28" s="6">
        <f>AK28/109</f>
        <v>3289928.4403669727</v>
      </c>
    </row>
    <row r="29" spans="1:39" x14ac:dyDescent="0.25">
      <c r="A29" s="104" t="s">
        <v>201</v>
      </c>
      <c r="B29" s="106"/>
      <c r="C29" s="2">
        <v>3</v>
      </c>
      <c r="D29" s="333">
        <v>3</v>
      </c>
      <c r="E29" s="25">
        <v>6671655</v>
      </c>
      <c r="F29" s="107"/>
      <c r="G29" s="2">
        <v>16</v>
      </c>
      <c r="H29" s="333" t="s">
        <v>528</v>
      </c>
      <c r="I29" s="91">
        <v>45205420</v>
      </c>
      <c r="J29" s="108"/>
      <c r="K29" s="2">
        <v>1</v>
      </c>
      <c r="L29" s="333">
        <v>1</v>
      </c>
      <c r="M29" s="25">
        <v>645000</v>
      </c>
      <c r="N29" s="107"/>
      <c r="O29" s="2">
        <v>3</v>
      </c>
      <c r="P29" s="333">
        <v>4</v>
      </c>
      <c r="Q29" s="91">
        <v>5254121</v>
      </c>
      <c r="R29" s="108"/>
      <c r="S29" s="2">
        <v>1</v>
      </c>
      <c r="T29" s="333">
        <v>1</v>
      </c>
      <c r="U29" s="25">
        <v>100000000</v>
      </c>
      <c r="V29" s="107"/>
      <c r="W29" s="2">
        <v>1</v>
      </c>
      <c r="X29" s="333">
        <v>2</v>
      </c>
      <c r="Y29" s="91">
        <v>4000000</v>
      </c>
      <c r="Z29" s="108"/>
      <c r="AA29" s="2">
        <v>1</v>
      </c>
      <c r="AB29" s="333">
        <v>1</v>
      </c>
      <c r="AC29" s="25">
        <v>3761925</v>
      </c>
      <c r="AD29" s="107"/>
      <c r="AE29" s="2">
        <v>1</v>
      </c>
      <c r="AF29" s="2">
        <v>1</v>
      </c>
      <c r="AG29" s="105">
        <v>243680</v>
      </c>
      <c r="AH29" s="108"/>
      <c r="AI29" s="2">
        <f>C29+G29+K29+O29+S29+W29+AA29+AE29</f>
        <v>27</v>
      </c>
      <c r="AJ29" s="333" t="s">
        <v>531</v>
      </c>
      <c r="AK29" s="6">
        <f>E29+I29+M29+Q29+U29+Y29+AC29+AG29</f>
        <v>165781801</v>
      </c>
      <c r="AL29" s="6">
        <f>AK29/33</f>
        <v>5023690.9393939395</v>
      </c>
    </row>
    <row r="30" spans="1:39" x14ac:dyDescent="0.25">
      <c r="E30" s="31"/>
      <c r="I30" s="31"/>
      <c r="M30" s="31"/>
      <c r="Q30" s="31"/>
      <c r="U30" s="31"/>
      <c r="AC30" s="31"/>
      <c r="AG30" s="31"/>
      <c r="AI30" s="117"/>
      <c r="AK30" s="31"/>
      <c r="AL30" s="31"/>
    </row>
    <row r="31" spans="1:39" x14ac:dyDescent="0.25">
      <c r="E31" s="31"/>
      <c r="I31" s="31"/>
      <c r="M31" s="31"/>
      <c r="Q31" s="31"/>
      <c r="U31" s="31"/>
      <c r="AC31" s="31"/>
      <c r="AG31" s="31"/>
      <c r="AI31" s="117"/>
      <c r="AK31" s="31"/>
    </row>
    <row r="32" spans="1:39" x14ac:dyDescent="0.25">
      <c r="A32" s="121" t="s">
        <v>235</v>
      </c>
      <c r="E32" s="31"/>
      <c r="I32" s="31"/>
      <c r="M32" s="31"/>
      <c r="Q32" s="31"/>
      <c r="U32" s="31"/>
      <c r="AC32" s="31"/>
      <c r="AG32" s="31"/>
      <c r="AI32" s="117"/>
      <c r="AK32" s="31"/>
    </row>
    <row r="33" spans="1:37" ht="30.75" customHeight="1" x14ac:dyDescent="0.25">
      <c r="A33" s="440" t="s">
        <v>236</v>
      </c>
      <c r="B33" s="440"/>
      <c r="C33" s="440"/>
      <c r="D33" s="440"/>
      <c r="E33" s="440"/>
      <c r="F33" s="440"/>
      <c r="G33" s="440"/>
      <c r="H33" s="440"/>
      <c r="I33" s="440"/>
      <c r="J33" s="440"/>
      <c r="K33" s="440"/>
      <c r="L33" s="440"/>
      <c r="M33" s="440"/>
      <c r="N33" s="440"/>
      <c r="O33" s="440"/>
      <c r="P33" s="440"/>
      <c r="Q33" s="440"/>
      <c r="R33" s="440"/>
      <c r="U33" s="31"/>
      <c r="AC33" s="31"/>
      <c r="AG33" s="31"/>
      <c r="AI33" s="117"/>
      <c r="AK33" s="31"/>
    </row>
    <row r="34" spans="1:37" ht="28.5" customHeight="1" x14ac:dyDescent="0.25">
      <c r="A34" s="440" t="s">
        <v>237</v>
      </c>
      <c r="B34" s="440"/>
      <c r="C34" s="440"/>
      <c r="D34" s="440"/>
      <c r="E34" s="440"/>
      <c r="F34" s="440"/>
      <c r="G34" s="440"/>
      <c r="H34" s="440"/>
      <c r="I34" s="440"/>
      <c r="J34" s="440"/>
      <c r="K34" s="440"/>
      <c r="L34" s="440"/>
      <c r="M34" s="440"/>
      <c r="N34" s="440"/>
      <c r="O34" s="440"/>
      <c r="P34" s="440"/>
      <c r="Q34" s="440"/>
      <c r="R34" s="440"/>
      <c r="U34" s="31"/>
      <c r="AC34" s="31"/>
      <c r="AG34" s="31"/>
      <c r="AI34" s="117"/>
      <c r="AK34" s="31"/>
    </row>
    <row r="35" spans="1:37" x14ac:dyDescent="0.25">
      <c r="A35" s="121" t="s">
        <v>232</v>
      </c>
      <c r="E35" s="31"/>
      <c r="I35" s="31"/>
      <c r="M35" s="31"/>
      <c r="Q35" s="31"/>
      <c r="U35" s="31"/>
      <c r="AC35" s="31"/>
      <c r="AG35" s="31"/>
      <c r="AI35" s="117"/>
      <c r="AK35" s="31"/>
    </row>
    <row r="36" spans="1:37" ht="30" customHeight="1" x14ac:dyDescent="0.25">
      <c r="A36" s="440" t="s">
        <v>233</v>
      </c>
      <c r="B36" s="440"/>
      <c r="C36" s="440"/>
      <c r="D36" s="440"/>
      <c r="E36" s="440"/>
      <c r="F36" s="440"/>
      <c r="G36" s="440"/>
      <c r="H36" s="440"/>
      <c r="I36" s="440"/>
      <c r="J36" s="440"/>
      <c r="K36" s="440"/>
      <c r="L36" s="440"/>
      <c r="M36" s="440"/>
      <c r="N36" s="440"/>
      <c r="O36" s="440"/>
      <c r="P36" s="440"/>
      <c r="Q36" s="440"/>
      <c r="R36" s="440"/>
      <c r="U36" s="31"/>
      <c r="AC36" s="31"/>
      <c r="AG36" s="31"/>
      <c r="AI36" s="117"/>
      <c r="AK36" s="31"/>
    </row>
    <row r="37" spans="1:37" ht="29.25" customHeight="1" x14ac:dyDescent="0.25">
      <c r="A37" s="441" t="s">
        <v>234</v>
      </c>
      <c r="B37" s="441"/>
      <c r="C37" s="441"/>
      <c r="D37" s="441"/>
      <c r="E37" s="441"/>
      <c r="F37" s="441"/>
      <c r="G37" s="441"/>
      <c r="H37" s="441"/>
      <c r="I37" s="441"/>
      <c r="J37" s="441"/>
      <c r="K37" s="441"/>
      <c r="L37" s="441"/>
      <c r="M37" s="441"/>
      <c r="N37" s="441"/>
      <c r="O37" s="441"/>
      <c r="P37" s="441"/>
      <c r="Q37" s="441"/>
      <c r="R37" s="441"/>
      <c r="U37" s="31"/>
      <c r="AC37" s="31"/>
      <c r="AG37" s="31"/>
      <c r="AI37" s="117"/>
      <c r="AK37" s="31"/>
    </row>
    <row r="38" spans="1:37" x14ac:dyDescent="0.25">
      <c r="A38" s="121" t="s">
        <v>225</v>
      </c>
      <c r="E38" s="31"/>
      <c r="I38" s="31"/>
      <c r="M38" s="31"/>
      <c r="Q38" s="31"/>
      <c r="U38" s="31"/>
      <c r="AC38" s="31"/>
      <c r="AG38" s="31"/>
      <c r="AI38" s="117"/>
      <c r="AK38" s="31"/>
    </row>
    <row r="39" spans="1:37" ht="32.25" customHeight="1" x14ac:dyDescent="0.25">
      <c r="A39" s="440" t="s">
        <v>226</v>
      </c>
      <c r="B39" s="440"/>
      <c r="C39" s="440"/>
      <c r="D39" s="440"/>
      <c r="E39" s="440"/>
      <c r="F39" s="440"/>
      <c r="G39" s="440"/>
      <c r="H39" s="440"/>
      <c r="I39" s="440"/>
      <c r="J39" s="440"/>
      <c r="K39" s="440"/>
      <c r="L39" s="440"/>
      <c r="M39" s="440"/>
      <c r="N39" s="440"/>
      <c r="O39" s="440"/>
      <c r="P39" s="440"/>
      <c r="Q39" s="440"/>
      <c r="R39" s="440"/>
      <c r="U39" s="31"/>
      <c r="AC39" s="31"/>
      <c r="AG39" s="31"/>
      <c r="AI39" s="117"/>
      <c r="AK39" s="31"/>
    </row>
    <row r="40" spans="1:37" ht="30.75" customHeight="1" x14ac:dyDescent="0.25">
      <c r="A40" s="440" t="s">
        <v>227</v>
      </c>
      <c r="B40" s="440"/>
      <c r="C40" s="440"/>
      <c r="D40" s="440"/>
      <c r="E40" s="440"/>
      <c r="F40" s="440"/>
      <c r="G40" s="440"/>
      <c r="H40" s="440"/>
      <c r="I40" s="440"/>
      <c r="J40" s="440"/>
      <c r="K40" s="440"/>
      <c r="L40" s="440"/>
      <c r="M40" s="440"/>
      <c r="N40" s="440"/>
      <c r="O40" s="440"/>
      <c r="P40" s="440"/>
      <c r="Q40" s="440"/>
      <c r="R40" s="440"/>
    </row>
    <row r="41" spans="1:37" x14ac:dyDescent="0.25">
      <c r="A41" s="100" t="s">
        <v>216</v>
      </c>
    </row>
    <row r="42" spans="1:37" ht="30.75" customHeight="1" x14ac:dyDescent="0.25">
      <c r="A42" s="440" t="s">
        <v>202</v>
      </c>
      <c r="B42" s="440"/>
      <c r="C42" s="440"/>
      <c r="D42" s="440"/>
      <c r="E42" s="440"/>
      <c r="F42" s="440"/>
      <c r="G42" s="440"/>
      <c r="H42" s="440"/>
      <c r="I42" s="440"/>
      <c r="J42" s="440"/>
      <c r="K42" s="440"/>
      <c r="L42" s="440"/>
      <c r="M42" s="440"/>
      <c r="N42" s="440"/>
      <c r="O42" s="440"/>
      <c r="P42" s="440"/>
      <c r="Q42" s="440"/>
      <c r="R42" s="440"/>
    </row>
    <row r="43" spans="1:37" ht="15.75" customHeight="1" x14ac:dyDescent="0.25">
      <c r="A43" s="440" t="s">
        <v>203</v>
      </c>
      <c r="B43" s="440"/>
      <c r="C43" s="440"/>
      <c r="D43" s="440"/>
      <c r="E43" s="440"/>
      <c r="F43" s="440"/>
      <c r="G43" s="440"/>
      <c r="H43" s="440"/>
      <c r="I43" s="440"/>
      <c r="J43" s="440"/>
      <c r="K43" s="440"/>
      <c r="L43" s="440"/>
      <c r="M43" s="440"/>
      <c r="N43" s="440"/>
      <c r="O43" s="440"/>
      <c r="P43" s="440"/>
      <c r="Q43" s="440"/>
      <c r="R43" s="440"/>
    </row>
    <row r="44" spans="1:37" x14ac:dyDescent="0.25">
      <c r="A44" s="100" t="s">
        <v>512</v>
      </c>
    </row>
    <row r="45" spans="1:37" ht="29.25" customHeight="1" x14ac:dyDescent="0.25">
      <c r="A45" s="440" t="s">
        <v>513</v>
      </c>
      <c r="B45" s="440"/>
      <c r="C45" s="440"/>
      <c r="D45" s="440"/>
      <c r="E45" s="440"/>
      <c r="F45" s="440"/>
      <c r="G45" s="440"/>
      <c r="H45" s="440"/>
      <c r="I45" s="440"/>
      <c r="J45" s="440"/>
      <c r="K45" s="440"/>
      <c r="L45" s="440"/>
      <c r="M45" s="440"/>
      <c r="N45" s="440"/>
      <c r="O45" s="440"/>
      <c r="P45" s="440"/>
      <c r="Q45" s="440"/>
      <c r="R45" s="440"/>
    </row>
    <row r="46" spans="1:37" ht="30.75" customHeight="1" x14ac:dyDescent="0.25">
      <c r="A46" s="440" t="s">
        <v>514</v>
      </c>
      <c r="B46" s="440"/>
      <c r="C46" s="440"/>
      <c r="D46" s="440"/>
      <c r="E46" s="440"/>
      <c r="F46" s="440"/>
      <c r="G46" s="440"/>
      <c r="H46" s="440"/>
      <c r="I46" s="440"/>
      <c r="J46" s="440"/>
      <c r="K46" s="440"/>
      <c r="L46" s="440"/>
      <c r="M46" s="440"/>
      <c r="N46" s="440"/>
      <c r="O46" s="440"/>
      <c r="P46" s="440"/>
      <c r="Q46" s="440"/>
      <c r="R46" s="440"/>
    </row>
  </sheetData>
  <mergeCells count="21">
    <mergeCell ref="A45:R45"/>
    <mergeCell ref="A46:R46"/>
    <mergeCell ref="A39:R39"/>
    <mergeCell ref="A40:R40"/>
    <mergeCell ref="A42:R42"/>
    <mergeCell ref="A43:R43"/>
    <mergeCell ref="A33:R33"/>
    <mergeCell ref="A34:R34"/>
    <mergeCell ref="A36:R36"/>
    <mergeCell ref="A37:R37"/>
    <mergeCell ref="AL3:AL4"/>
    <mergeCell ref="A3:A4"/>
    <mergeCell ref="B3:E3"/>
    <mergeCell ref="F3:I3"/>
    <mergeCell ref="J3:M3"/>
    <mergeCell ref="N3:Q3"/>
    <mergeCell ref="R3:U3"/>
    <mergeCell ref="V3:Y3"/>
    <mergeCell ref="Z3:AC3"/>
    <mergeCell ref="AH3:AK3"/>
    <mergeCell ref="AD3:AG3"/>
  </mergeCells>
  <conditionalFormatting sqref="AH16:AI16">
    <cfRule type="iconSet" priority="7">
      <iconSet iconSet="3Arrows">
        <cfvo type="percent" val="0"/>
        <cfvo type="percent" val="33"/>
        <cfvo type="percent" val="67"/>
      </iconSet>
    </cfRule>
    <cfRule type="top10" dxfId="22" priority="8" percent="1" rank="10"/>
  </conditionalFormatting>
  <conditionalFormatting sqref="AJ16">
    <cfRule type="iconSet" priority="5">
      <iconSet iconSet="3Arrows">
        <cfvo type="percent" val="0"/>
        <cfvo type="percent" val="33"/>
        <cfvo type="percent" val="67"/>
      </iconSet>
    </cfRule>
    <cfRule type="top10" dxfId="21" priority="6" percent="1" rank="10"/>
  </conditionalFormatting>
  <conditionalFormatting sqref="AK16">
    <cfRule type="iconSet" priority="3">
      <iconSet iconSet="3Arrows">
        <cfvo type="percent" val="0"/>
        <cfvo type="percent" val="33"/>
        <cfvo type="percent" val="67"/>
      </iconSet>
    </cfRule>
    <cfRule type="top10" dxfId="20" priority="4" percent="1" rank="10"/>
  </conditionalFormatting>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59"/>
  <sheetViews>
    <sheetView topLeftCell="A142" workbookViewId="0">
      <selection activeCell="L140" sqref="L140"/>
    </sheetView>
  </sheetViews>
  <sheetFormatPr defaultRowHeight="15" x14ac:dyDescent="0.25"/>
  <cols>
    <col min="1" max="1" width="12" customWidth="1"/>
    <col min="2" max="2" width="13.140625" bestFit="1" customWidth="1"/>
    <col min="3" max="3" width="11" customWidth="1"/>
    <col min="4" max="5" width="13.140625" bestFit="1" customWidth="1"/>
    <col min="6" max="6" width="13" customWidth="1"/>
    <col min="8" max="8" width="13.140625" bestFit="1" customWidth="1"/>
    <col min="9" max="9" width="12.140625" customWidth="1"/>
    <col min="10" max="10" width="10" bestFit="1" customWidth="1"/>
  </cols>
  <sheetData>
    <row r="1" spans="1:4" x14ac:dyDescent="0.25">
      <c r="A1" s="415" t="s">
        <v>515</v>
      </c>
    </row>
    <row r="3" spans="1:4" ht="45" x14ac:dyDescent="0.25">
      <c r="A3" s="74"/>
      <c r="B3" s="262" t="s">
        <v>387</v>
      </c>
      <c r="C3" s="262" t="s">
        <v>388</v>
      </c>
      <c r="D3" s="261" t="s">
        <v>20</v>
      </c>
    </row>
    <row r="4" spans="1:4" x14ac:dyDescent="0.25">
      <c r="A4" s="2" t="s">
        <v>199</v>
      </c>
      <c r="B4" s="2">
        <v>2</v>
      </c>
      <c r="C4" s="2">
        <v>2</v>
      </c>
      <c r="D4" s="2">
        <f>SUM(B4:C4)</f>
        <v>4</v>
      </c>
    </row>
    <row r="5" spans="1:4" x14ac:dyDescent="0.25">
      <c r="A5" s="2" t="s">
        <v>200</v>
      </c>
      <c r="B5" s="2">
        <v>74</v>
      </c>
      <c r="C5" s="2">
        <v>35</v>
      </c>
      <c r="D5" s="2">
        <f>SUM(B5:C5)</f>
        <v>109</v>
      </c>
    </row>
    <row r="6" spans="1:4" x14ac:dyDescent="0.25">
      <c r="A6" s="2" t="s">
        <v>201</v>
      </c>
      <c r="B6" s="2">
        <v>28</v>
      </c>
      <c r="C6" s="2">
        <v>5</v>
      </c>
      <c r="D6" s="2">
        <f>SUM(B6:C6)</f>
        <v>33</v>
      </c>
    </row>
    <row r="7" spans="1:4" x14ac:dyDescent="0.25">
      <c r="A7" s="259" t="s">
        <v>20</v>
      </c>
      <c r="B7" s="74">
        <f>SUM(B4:B6)</f>
        <v>104</v>
      </c>
      <c r="C7" s="74">
        <f>SUM(C4:C6)</f>
        <v>42</v>
      </c>
      <c r="D7" s="74">
        <f>SUM(D4:D6)</f>
        <v>146</v>
      </c>
    </row>
    <row r="11" spans="1:4" x14ac:dyDescent="0.25">
      <c r="A11" s="415" t="s">
        <v>516</v>
      </c>
    </row>
    <row r="13" spans="1:4" ht="45" x14ac:dyDescent="0.25">
      <c r="A13" s="74"/>
      <c r="B13" s="262" t="s">
        <v>44</v>
      </c>
      <c r="C13" s="262" t="s">
        <v>389</v>
      </c>
    </row>
    <row r="14" spans="1:4" x14ac:dyDescent="0.25">
      <c r="A14" s="2" t="s">
        <v>199</v>
      </c>
      <c r="B14" s="272">
        <v>124242227</v>
      </c>
      <c r="C14" s="8">
        <f>B14/B17</f>
        <v>0.19154672080266233</v>
      </c>
    </row>
    <row r="15" spans="1:4" x14ac:dyDescent="0.25">
      <c r="A15" s="2" t="s">
        <v>200</v>
      </c>
      <c r="B15" s="272">
        <v>358602200</v>
      </c>
      <c r="C15" s="8">
        <f>B15/B17</f>
        <v>0.55286416817545037</v>
      </c>
    </row>
    <row r="16" spans="1:4" ht="15.75" thickBot="1" x14ac:dyDescent="0.3">
      <c r="A16" s="15" t="s">
        <v>201</v>
      </c>
      <c r="B16" s="273">
        <v>165781801</v>
      </c>
      <c r="C16" s="274">
        <f>B16/B17</f>
        <v>0.25558911102188731</v>
      </c>
    </row>
    <row r="17" spans="1:5" ht="15.75" thickTop="1" x14ac:dyDescent="0.25">
      <c r="A17" s="275" t="s">
        <v>20</v>
      </c>
      <c r="B17" s="276">
        <f>SUM(B14:B16)</f>
        <v>648626228</v>
      </c>
      <c r="C17" s="277">
        <f>SUM(C14:C16)</f>
        <v>1</v>
      </c>
    </row>
    <row r="29" spans="1:5" x14ac:dyDescent="0.25">
      <c r="A29" s="415" t="s">
        <v>517</v>
      </c>
    </row>
    <row r="31" spans="1:5" x14ac:dyDescent="0.25">
      <c r="A31" s="74"/>
      <c r="B31" s="261" t="s">
        <v>199</v>
      </c>
      <c r="C31" s="261" t="s">
        <v>200</v>
      </c>
      <c r="D31" s="261" t="s">
        <v>201</v>
      </c>
      <c r="E31" s="262" t="s">
        <v>11</v>
      </c>
    </row>
    <row r="32" spans="1:5" x14ac:dyDescent="0.25">
      <c r="A32" s="2" t="s">
        <v>23</v>
      </c>
      <c r="B32" s="20">
        <v>210.7</v>
      </c>
      <c r="C32" s="20">
        <v>125</v>
      </c>
      <c r="D32" s="20">
        <v>277.39999999999998</v>
      </c>
      <c r="E32" s="20">
        <v>913.1</v>
      </c>
    </row>
    <row r="33" spans="1:5" x14ac:dyDescent="0.25">
      <c r="A33" s="2" t="s">
        <v>24</v>
      </c>
      <c r="B33" s="20">
        <v>83.5</v>
      </c>
      <c r="C33" s="20">
        <v>256.60000000000002</v>
      </c>
      <c r="D33" s="20">
        <v>62.4</v>
      </c>
      <c r="E33" s="20">
        <v>402.5</v>
      </c>
    </row>
    <row r="34" spans="1:5" x14ac:dyDescent="0.25">
      <c r="A34" s="2" t="s">
        <v>25</v>
      </c>
      <c r="B34" s="20">
        <v>316.60000000000002</v>
      </c>
      <c r="C34" s="20">
        <v>634.79999999999995</v>
      </c>
      <c r="D34" s="20">
        <v>39.799999999999997</v>
      </c>
      <c r="E34" s="20">
        <v>991.2</v>
      </c>
    </row>
    <row r="35" spans="1:5" x14ac:dyDescent="0.25">
      <c r="A35" s="2" t="s">
        <v>26</v>
      </c>
      <c r="B35" s="20">
        <v>130.80000000000001</v>
      </c>
      <c r="C35" s="20">
        <v>517.6</v>
      </c>
      <c r="D35" s="20">
        <v>89</v>
      </c>
      <c r="E35" s="20">
        <v>737.3</v>
      </c>
    </row>
    <row r="36" spans="1:5" x14ac:dyDescent="0.25">
      <c r="A36" s="2" t="s">
        <v>27</v>
      </c>
      <c r="B36" s="20">
        <v>207.6</v>
      </c>
      <c r="C36" s="20">
        <v>358.3</v>
      </c>
      <c r="D36" s="20">
        <v>118.3</v>
      </c>
      <c r="E36" s="20">
        <v>684.1</v>
      </c>
    </row>
    <row r="37" spans="1:5" x14ac:dyDescent="0.25">
      <c r="A37" s="2" t="s">
        <v>28</v>
      </c>
      <c r="B37" s="20">
        <v>28.9</v>
      </c>
      <c r="C37" s="20">
        <v>298</v>
      </c>
      <c r="D37" s="20">
        <v>40.6</v>
      </c>
      <c r="E37" s="20">
        <v>367.5</v>
      </c>
    </row>
    <row r="38" spans="1:5" x14ac:dyDescent="0.25">
      <c r="A38" s="135" t="s">
        <v>496</v>
      </c>
      <c r="B38" s="40">
        <v>124.2</v>
      </c>
      <c r="C38" s="40">
        <v>358.6</v>
      </c>
      <c r="D38" s="40">
        <v>165.8</v>
      </c>
      <c r="E38" s="40">
        <v>648.6</v>
      </c>
    </row>
    <row r="61" spans="1:12" ht="30.75" customHeight="1" x14ac:dyDescent="0.25">
      <c r="A61" s="456" t="s">
        <v>518</v>
      </c>
      <c r="B61" s="456"/>
      <c r="C61" s="456"/>
      <c r="D61" s="456"/>
      <c r="E61" s="456"/>
      <c r="F61" s="456"/>
      <c r="G61" s="456"/>
      <c r="H61" s="456"/>
      <c r="I61" s="456"/>
      <c r="J61" s="456"/>
      <c r="K61" s="456"/>
      <c r="L61" s="151"/>
    </row>
    <row r="62" spans="1:12" ht="9" customHeight="1" x14ac:dyDescent="0.25"/>
    <row r="63" spans="1:12" ht="30" customHeight="1" x14ac:dyDescent="0.25">
      <c r="A63" s="445" t="s">
        <v>230</v>
      </c>
      <c r="B63" s="444" t="s">
        <v>40</v>
      </c>
      <c r="C63" s="444"/>
      <c r="D63" s="444"/>
      <c r="E63" s="444" t="s">
        <v>6</v>
      </c>
      <c r="F63" s="444"/>
      <c r="G63" s="444"/>
      <c r="H63" s="444" t="s">
        <v>391</v>
      </c>
      <c r="I63" s="444"/>
      <c r="J63" s="444"/>
    </row>
    <row r="64" spans="1:12" ht="90" x14ac:dyDescent="0.25">
      <c r="A64" s="445"/>
      <c r="B64" s="262" t="s">
        <v>390</v>
      </c>
      <c r="C64" s="262" t="s">
        <v>519</v>
      </c>
      <c r="D64" s="262" t="s">
        <v>520</v>
      </c>
      <c r="E64" s="262" t="s">
        <v>521</v>
      </c>
      <c r="F64" s="262" t="s">
        <v>519</v>
      </c>
      <c r="G64" s="262" t="s">
        <v>522</v>
      </c>
      <c r="H64" s="262" t="s">
        <v>390</v>
      </c>
      <c r="I64" s="262" t="s">
        <v>519</v>
      </c>
      <c r="J64" s="262" t="s">
        <v>520</v>
      </c>
    </row>
    <row r="65" spans="1:10" x14ac:dyDescent="0.25">
      <c r="A65" s="278" t="s">
        <v>199</v>
      </c>
      <c r="B65" s="279">
        <v>3</v>
      </c>
      <c r="C65" s="279">
        <v>3</v>
      </c>
      <c r="D65" s="281">
        <f>(C65-B65)/B65</f>
        <v>0</v>
      </c>
      <c r="E65" s="284">
        <v>28906121</v>
      </c>
      <c r="F65" s="284">
        <v>124242227</v>
      </c>
      <c r="G65" s="8">
        <f>(F65-E65)/E65</f>
        <v>3.2981286558649638</v>
      </c>
      <c r="H65" s="6">
        <f t="shared" ref="H65:I68" si="0">E65/B65</f>
        <v>9635373.666666666</v>
      </c>
      <c r="I65" s="6">
        <f t="shared" si="0"/>
        <v>41414075.666666664</v>
      </c>
      <c r="J65" s="8">
        <f>(I65-H65)/H65</f>
        <v>3.2981286558649638</v>
      </c>
    </row>
    <row r="66" spans="1:10" x14ac:dyDescent="0.25">
      <c r="A66" s="278" t="s">
        <v>200</v>
      </c>
      <c r="B66" s="279">
        <v>64</v>
      </c>
      <c r="C66" s="279">
        <v>68</v>
      </c>
      <c r="D66" s="281">
        <f>(C66-B66)/B66</f>
        <v>6.25E-2</v>
      </c>
      <c r="E66" s="285">
        <v>298011400</v>
      </c>
      <c r="F66" s="284">
        <v>358602200</v>
      </c>
      <c r="G66" s="8">
        <f>(F66-E66)/E66</f>
        <v>0.2033170543140296</v>
      </c>
      <c r="H66" s="6">
        <f t="shared" si="0"/>
        <v>4656428.125</v>
      </c>
      <c r="I66" s="6">
        <f t="shared" si="0"/>
        <v>5273561.7647058824</v>
      </c>
      <c r="J66" s="8">
        <f>(I66-H66)/H66</f>
        <v>0.13253369817791022</v>
      </c>
    </row>
    <row r="67" spans="1:10" x14ac:dyDescent="0.25">
      <c r="A67" s="264" t="s">
        <v>201</v>
      </c>
      <c r="B67" s="265">
        <v>26</v>
      </c>
      <c r="C67" s="265">
        <v>27</v>
      </c>
      <c r="D67" s="280">
        <f>(C67-B67)/B67</f>
        <v>3.8461538461538464E-2</v>
      </c>
      <c r="E67" s="284">
        <v>40658407</v>
      </c>
      <c r="F67" s="284">
        <v>165781801</v>
      </c>
      <c r="G67" s="8">
        <f>(F67-E67)/E67</f>
        <v>3.0774298166674359</v>
      </c>
      <c r="H67" s="6">
        <f t="shared" si="0"/>
        <v>1563784.8846153845</v>
      </c>
      <c r="I67" s="6">
        <f t="shared" si="0"/>
        <v>6140066.7037037034</v>
      </c>
      <c r="J67" s="8">
        <f>(I67-H67)/H67</f>
        <v>2.9264138975316056</v>
      </c>
    </row>
    <row r="68" spans="1:10" x14ac:dyDescent="0.25">
      <c r="A68" s="263" t="s">
        <v>20</v>
      </c>
      <c r="B68" s="170">
        <f>SUM(B65:B67)</f>
        <v>93</v>
      </c>
      <c r="C68" s="170">
        <f>SUM(C65:C67)</f>
        <v>98</v>
      </c>
      <c r="D68" s="283">
        <f>(C68-B68)/B68</f>
        <v>5.3763440860215055E-2</v>
      </c>
      <c r="E68" s="168">
        <f>SUM(E65:E67)</f>
        <v>367575928</v>
      </c>
      <c r="F68" s="168">
        <f>SUM(F65:F67)</f>
        <v>648626228</v>
      </c>
      <c r="G68" s="169">
        <f>(F68-E68)/E68</f>
        <v>0.76460474854599292</v>
      </c>
      <c r="H68" s="168">
        <f t="shared" si="0"/>
        <v>3952429.3333333335</v>
      </c>
      <c r="I68" s="168">
        <f t="shared" si="0"/>
        <v>6618634.9795918372</v>
      </c>
      <c r="J68" s="169">
        <f>(I68-H68)/H68</f>
        <v>0.67457389402834023</v>
      </c>
    </row>
    <row r="69" spans="1:10" ht="11.25" customHeight="1" x14ac:dyDescent="0.25"/>
    <row r="70" spans="1:10" ht="15" customHeight="1" x14ac:dyDescent="0.25">
      <c r="A70" s="456" t="s">
        <v>451</v>
      </c>
      <c r="B70" s="456"/>
      <c r="C70" s="456"/>
      <c r="D70" s="456"/>
      <c r="E70" s="456"/>
    </row>
    <row r="71" spans="1:10" x14ac:dyDescent="0.25">
      <c r="A71" s="456"/>
      <c r="B71" s="456"/>
      <c r="C71" s="456"/>
      <c r="D71" s="456"/>
      <c r="E71" s="456"/>
    </row>
    <row r="72" spans="1:10" x14ac:dyDescent="0.25">
      <c r="A72" s="151"/>
      <c r="B72" s="151"/>
      <c r="C72" s="151"/>
      <c r="D72" s="151"/>
      <c r="E72" s="151"/>
    </row>
    <row r="73" spans="1:10" ht="30" x14ac:dyDescent="0.25">
      <c r="A73" s="268" t="s">
        <v>230</v>
      </c>
      <c r="B73" s="267" t="s">
        <v>25</v>
      </c>
      <c r="C73" s="267" t="s">
        <v>26</v>
      </c>
      <c r="D73" s="267" t="s">
        <v>27</v>
      </c>
      <c r="E73" s="267" t="s">
        <v>28</v>
      </c>
      <c r="F73" s="348" t="s">
        <v>496</v>
      </c>
    </row>
    <row r="74" spans="1:10" x14ac:dyDescent="0.25">
      <c r="A74" s="2" t="s">
        <v>199</v>
      </c>
      <c r="B74" s="8">
        <v>1.2749999999999999</v>
      </c>
      <c r="C74" s="8">
        <v>-0.48299999999999998</v>
      </c>
      <c r="D74" s="8">
        <v>-0.20699999999999999</v>
      </c>
      <c r="E74" s="8">
        <v>-0.25700000000000001</v>
      </c>
      <c r="F74" s="8">
        <f>J65</f>
        <v>3.2981286558649638</v>
      </c>
    </row>
    <row r="75" spans="1:10" x14ac:dyDescent="0.25">
      <c r="A75" s="2" t="s">
        <v>200</v>
      </c>
      <c r="B75" s="8">
        <v>1.3680000000000001</v>
      </c>
      <c r="C75" s="8">
        <v>-0.23899999999999999</v>
      </c>
      <c r="D75" s="8">
        <v>-0.248</v>
      </c>
      <c r="E75" s="8">
        <v>-0.10299999999999999</v>
      </c>
      <c r="F75" s="8">
        <f>J66</f>
        <v>0.13253369817791022</v>
      </c>
    </row>
    <row r="76" spans="1:10" x14ac:dyDescent="0.25">
      <c r="A76" s="2" t="s">
        <v>201</v>
      </c>
      <c r="B76" s="8">
        <v>-0.33200000000000002</v>
      </c>
      <c r="C76" s="8">
        <v>0.67500000000000004</v>
      </c>
      <c r="D76" s="8">
        <v>9.5000000000000001E-2</v>
      </c>
      <c r="E76" s="8">
        <v>-0.55100000000000005</v>
      </c>
      <c r="F76" s="8">
        <f>J67</f>
        <v>2.9264138975316056</v>
      </c>
    </row>
    <row r="77" spans="1:10" ht="60" x14ac:dyDescent="0.25">
      <c r="A77" s="286" t="s">
        <v>395</v>
      </c>
      <c r="B77" s="169">
        <v>1.3160000000000001</v>
      </c>
      <c r="C77" s="169">
        <v>-0.32300000000000001</v>
      </c>
      <c r="D77" s="169">
        <v>-0.13500000000000001</v>
      </c>
      <c r="E77" s="169">
        <v>-0.313</v>
      </c>
      <c r="F77" s="258">
        <f>J68</f>
        <v>0.67457389402834023</v>
      </c>
    </row>
    <row r="79" spans="1:10" x14ac:dyDescent="0.25">
      <c r="A79" t="s">
        <v>392</v>
      </c>
    </row>
    <row r="80" spans="1:10" x14ac:dyDescent="0.25">
      <c r="A80" t="s">
        <v>393</v>
      </c>
    </row>
    <row r="84" spans="1:12" x14ac:dyDescent="0.25">
      <c r="A84" s="19"/>
      <c r="B84" s="19"/>
      <c r="C84" s="19"/>
      <c r="D84" s="19"/>
      <c r="E84" s="19"/>
      <c r="F84" s="19"/>
      <c r="G84" s="19"/>
      <c r="H84" s="19"/>
      <c r="I84" s="19"/>
      <c r="J84" s="19"/>
      <c r="K84" s="19"/>
      <c r="L84" s="19"/>
    </row>
    <row r="85" spans="1:12" ht="29.25" customHeight="1" x14ac:dyDescent="0.25">
      <c r="A85" s="458" t="s">
        <v>523</v>
      </c>
      <c r="B85" s="458"/>
      <c r="C85" s="458"/>
      <c r="D85" s="458"/>
      <c r="E85" s="458"/>
      <c r="F85" s="458"/>
      <c r="G85" s="458"/>
      <c r="H85" s="458"/>
      <c r="I85" s="458"/>
      <c r="J85" s="458"/>
      <c r="K85" s="458"/>
      <c r="L85" s="151"/>
    </row>
    <row r="86" spans="1:12" x14ac:dyDescent="0.25">
      <c r="A86" s="19"/>
      <c r="B86" s="19"/>
      <c r="C86" s="19"/>
      <c r="D86" s="19"/>
      <c r="E86" s="19"/>
      <c r="F86" s="19"/>
      <c r="G86" s="19"/>
      <c r="H86" s="19"/>
      <c r="I86" s="19"/>
      <c r="J86" s="19"/>
      <c r="K86" s="19"/>
      <c r="L86" s="19"/>
    </row>
    <row r="87" spans="1:12" x14ac:dyDescent="0.25">
      <c r="A87" s="445" t="s">
        <v>230</v>
      </c>
      <c r="B87" s="444" t="s">
        <v>41</v>
      </c>
      <c r="C87" s="444"/>
      <c r="D87" s="444"/>
      <c r="E87" s="444" t="s">
        <v>6</v>
      </c>
      <c r="F87" s="444"/>
      <c r="G87" s="444"/>
      <c r="H87" s="444" t="s">
        <v>159</v>
      </c>
      <c r="I87" s="444"/>
      <c r="J87" s="444"/>
      <c r="K87" s="19"/>
      <c r="L87" s="19"/>
    </row>
    <row r="88" spans="1:12" ht="90" x14ac:dyDescent="0.25">
      <c r="A88" s="445"/>
      <c r="B88" s="268" t="s">
        <v>390</v>
      </c>
      <c r="C88" s="268" t="s">
        <v>519</v>
      </c>
      <c r="D88" s="268" t="s">
        <v>520</v>
      </c>
      <c r="E88" s="268" t="s">
        <v>521</v>
      </c>
      <c r="F88" s="268" t="s">
        <v>519</v>
      </c>
      <c r="G88" s="268" t="s">
        <v>520</v>
      </c>
      <c r="H88" s="268" t="s">
        <v>390</v>
      </c>
      <c r="I88" s="268" t="s">
        <v>519</v>
      </c>
      <c r="J88" s="268" t="s">
        <v>520</v>
      </c>
      <c r="K88" s="19"/>
      <c r="L88" s="19"/>
    </row>
    <row r="89" spans="1:12" x14ac:dyDescent="0.25">
      <c r="A89" s="278" t="s">
        <v>199</v>
      </c>
      <c r="B89" s="279">
        <v>3</v>
      </c>
      <c r="C89" s="279">
        <v>4</v>
      </c>
      <c r="D89" s="281">
        <f>(C89-B89)/B89</f>
        <v>0.33333333333333331</v>
      </c>
      <c r="E89" s="6">
        <v>28906121</v>
      </c>
      <c r="F89" s="284">
        <v>124242227</v>
      </c>
      <c r="G89" s="8">
        <f>(F89-E89)/E89</f>
        <v>3.2981286558649638</v>
      </c>
      <c r="H89" s="6">
        <f t="shared" ref="H89:I92" si="1">E89/B89</f>
        <v>9635373.666666666</v>
      </c>
      <c r="I89" s="6">
        <f t="shared" si="1"/>
        <v>31060556.75</v>
      </c>
      <c r="J89" s="8">
        <f>(I89-H89)/H89</f>
        <v>2.2235964918987232</v>
      </c>
      <c r="K89" s="19"/>
      <c r="L89" s="19"/>
    </row>
    <row r="90" spans="1:12" x14ac:dyDescent="0.25">
      <c r="A90" s="278" t="s">
        <v>200</v>
      </c>
      <c r="B90" s="279">
        <v>151</v>
      </c>
      <c r="C90" s="279">
        <v>109</v>
      </c>
      <c r="D90" s="281">
        <f t="shared" ref="D90:D91" si="2">(C90-B90)/B90</f>
        <v>-0.27814569536423839</v>
      </c>
      <c r="E90" s="282">
        <v>298011400</v>
      </c>
      <c r="F90" s="284">
        <v>358602200</v>
      </c>
      <c r="G90" s="8">
        <f t="shared" ref="G90:G91" si="3">(F90-E90)/E90</f>
        <v>0.2033170543140296</v>
      </c>
      <c r="H90" s="6">
        <f t="shared" si="1"/>
        <v>1973585.4304635762</v>
      </c>
      <c r="I90" s="6">
        <f t="shared" si="1"/>
        <v>3289928.4403669727</v>
      </c>
      <c r="J90" s="8">
        <f t="shared" ref="J90:J91" si="4">(I90-H90)/H90</f>
        <v>0.66698050643503193</v>
      </c>
      <c r="K90" s="19"/>
      <c r="L90" s="19"/>
    </row>
    <row r="91" spans="1:12" x14ac:dyDescent="0.25">
      <c r="A91" s="270" t="s">
        <v>201</v>
      </c>
      <c r="B91" s="271">
        <v>119</v>
      </c>
      <c r="C91" s="271">
        <v>33</v>
      </c>
      <c r="D91" s="281">
        <f t="shared" si="2"/>
        <v>-0.72268907563025209</v>
      </c>
      <c r="E91" s="6">
        <v>40658407</v>
      </c>
      <c r="F91" s="284">
        <v>165781801</v>
      </c>
      <c r="G91" s="8">
        <f t="shared" si="3"/>
        <v>3.0774298166674359</v>
      </c>
      <c r="H91" s="6">
        <f t="shared" si="1"/>
        <v>341667.28571428574</v>
      </c>
      <c r="I91" s="6">
        <f t="shared" si="1"/>
        <v>5023690.9393939395</v>
      </c>
      <c r="J91" s="8">
        <f t="shared" si="4"/>
        <v>13.703459035861361</v>
      </c>
      <c r="K91" s="19"/>
      <c r="L91" s="19"/>
    </row>
    <row r="92" spans="1:12" x14ac:dyDescent="0.25">
      <c r="A92" s="269" t="s">
        <v>20</v>
      </c>
      <c r="B92" s="170">
        <f>SUM(B89:B91)</f>
        <v>273</v>
      </c>
      <c r="C92" s="170">
        <f>SUM(C89:C91)</f>
        <v>146</v>
      </c>
      <c r="D92" s="283">
        <f>(C92-B92)/B92</f>
        <v>-0.46520146520146521</v>
      </c>
      <c r="E92" s="168">
        <f>SUM(E89:E91)</f>
        <v>367575928</v>
      </c>
      <c r="F92" s="168">
        <f>SUM(F89:F91)</f>
        <v>648626228</v>
      </c>
      <c r="G92" s="169">
        <f>(F92-E92)/E92</f>
        <v>0.76460474854599292</v>
      </c>
      <c r="H92" s="168">
        <f t="shared" si="1"/>
        <v>1346431.9706959706</v>
      </c>
      <c r="I92" s="168">
        <f t="shared" si="1"/>
        <v>4442645.3972602738</v>
      </c>
      <c r="J92" s="169">
        <f>(I92-H92)/H92</f>
        <v>2.2995691531031239</v>
      </c>
      <c r="K92" s="19"/>
      <c r="L92" s="19"/>
    </row>
    <row r="93" spans="1:12" x14ac:dyDescent="0.25">
      <c r="A93" s="19"/>
      <c r="B93" s="19"/>
      <c r="C93" s="19"/>
      <c r="D93" s="19"/>
      <c r="E93" s="19"/>
      <c r="F93" s="19"/>
      <c r="G93" s="19"/>
      <c r="H93" s="19"/>
      <c r="I93" s="19"/>
      <c r="J93" s="19"/>
      <c r="K93" s="19"/>
      <c r="L93" s="19"/>
    </row>
    <row r="94" spans="1:12" x14ac:dyDescent="0.25">
      <c r="A94" s="456" t="s">
        <v>394</v>
      </c>
      <c r="B94" s="456"/>
      <c r="C94" s="456"/>
      <c r="D94" s="456"/>
      <c r="E94" s="456"/>
      <c r="F94" s="19"/>
      <c r="G94" s="19"/>
      <c r="H94" s="19"/>
      <c r="I94" s="19"/>
      <c r="J94" s="19"/>
      <c r="K94" s="19"/>
      <c r="L94" s="19"/>
    </row>
    <row r="95" spans="1:12" x14ac:dyDescent="0.25">
      <c r="A95" s="456"/>
      <c r="B95" s="456"/>
      <c r="C95" s="456"/>
      <c r="D95" s="456"/>
      <c r="E95" s="456"/>
      <c r="F95" s="19"/>
      <c r="G95" s="19"/>
      <c r="H95" s="19"/>
      <c r="I95" s="19"/>
      <c r="J95" s="19"/>
      <c r="K95" s="19"/>
      <c r="L95" s="19"/>
    </row>
    <row r="96" spans="1:12" x14ac:dyDescent="0.25">
      <c r="A96" s="19"/>
      <c r="B96" s="19"/>
      <c r="C96" s="19"/>
      <c r="D96" s="19"/>
      <c r="E96" s="19"/>
      <c r="F96" s="19"/>
      <c r="G96" s="19"/>
      <c r="H96" s="19"/>
      <c r="I96" s="19"/>
      <c r="J96" s="19"/>
      <c r="K96" s="19"/>
      <c r="L96" s="19"/>
    </row>
    <row r="97" spans="1:12" ht="30" x14ac:dyDescent="0.25">
      <c r="A97" s="268" t="s">
        <v>230</v>
      </c>
      <c r="B97" s="267" t="s">
        <v>25</v>
      </c>
      <c r="C97" s="267" t="s">
        <v>26</v>
      </c>
      <c r="D97" s="267" t="s">
        <v>27</v>
      </c>
      <c r="E97" s="267" t="s">
        <v>28</v>
      </c>
      <c r="F97" s="349" t="s">
        <v>496</v>
      </c>
      <c r="G97" s="19"/>
      <c r="H97" s="19"/>
      <c r="I97" s="19"/>
      <c r="J97" s="19"/>
      <c r="K97" s="19"/>
      <c r="L97" s="19"/>
    </row>
    <row r="98" spans="1:12" x14ac:dyDescent="0.25">
      <c r="A98" s="2" t="s">
        <v>199</v>
      </c>
      <c r="B98" s="8">
        <v>0.89600000000000002</v>
      </c>
      <c r="C98" s="8">
        <v>-0.44900000000000001</v>
      </c>
      <c r="D98" s="8">
        <v>-0.379</v>
      </c>
      <c r="E98" s="8">
        <v>6.8000000000000005E-2</v>
      </c>
      <c r="F98" s="351">
        <f>J89</f>
        <v>2.2235964918987232</v>
      </c>
      <c r="G98" s="19"/>
      <c r="H98" s="19"/>
      <c r="I98" s="19"/>
      <c r="J98" s="19"/>
      <c r="K98" s="19"/>
      <c r="L98" s="19"/>
    </row>
    <row r="99" spans="1:12" x14ac:dyDescent="0.25">
      <c r="A99" s="2" t="s">
        <v>200</v>
      </c>
      <c r="B99" s="8">
        <v>1.1839999999999999</v>
      </c>
      <c r="C99" s="8">
        <v>-0.49099999999999999</v>
      </c>
      <c r="D99" s="8">
        <v>0.45</v>
      </c>
      <c r="E99" s="8">
        <v>-0.53200000000000003</v>
      </c>
      <c r="F99" s="351">
        <f>J90</f>
        <v>0.66698050643503193</v>
      </c>
      <c r="G99" s="19"/>
      <c r="H99" s="19"/>
      <c r="I99" s="19"/>
      <c r="J99" s="19"/>
      <c r="K99" s="19"/>
      <c r="L99" s="19"/>
    </row>
    <row r="100" spans="1:12" x14ac:dyDescent="0.25">
      <c r="A100" s="2" t="s">
        <v>201</v>
      </c>
      <c r="B100" s="8">
        <v>-0.23400000000000001</v>
      </c>
      <c r="C100" s="8">
        <v>-0.71099999999999997</v>
      </c>
      <c r="D100" s="8">
        <v>4.8330000000000002</v>
      </c>
      <c r="E100" s="8">
        <v>-0.873</v>
      </c>
      <c r="F100" s="351">
        <f>J91</f>
        <v>13.703459035861361</v>
      </c>
      <c r="G100" s="19"/>
      <c r="H100" s="19"/>
      <c r="I100" s="19"/>
      <c r="J100" s="19"/>
      <c r="K100" s="19"/>
      <c r="L100" s="19"/>
    </row>
    <row r="101" spans="1:12" ht="60" x14ac:dyDescent="0.25">
      <c r="A101" s="286" t="s">
        <v>395</v>
      </c>
      <c r="B101" s="169">
        <v>1.2290000000000001</v>
      </c>
      <c r="C101" s="169">
        <v>-0.71</v>
      </c>
      <c r="D101" s="169">
        <v>1.32</v>
      </c>
      <c r="E101" s="169">
        <v>-0.70099999999999996</v>
      </c>
      <c r="F101" s="352">
        <f>J92</f>
        <v>2.2995691531031239</v>
      </c>
      <c r="G101" s="19"/>
      <c r="H101" s="19"/>
      <c r="I101" s="19"/>
      <c r="J101" s="19"/>
      <c r="K101" s="19"/>
      <c r="L101" s="19"/>
    </row>
    <row r="102" spans="1:12" x14ac:dyDescent="0.25">
      <c r="A102" s="19"/>
      <c r="B102" s="19"/>
      <c r="C102" s="19"/>
      <c r="D102" s="19"/>
      <c r="E102" s="19"/>
      <c r="F102" s="19"/>
      <c r="G102" s="19"/>
      <c r="H102" s="19"/>
      <c r="I102" s="19"/>
      <c r="J102" s="19"/>
      <c r="K102" s="19"/>
      <c r="L102" s="19"/>
    </row>
    <row r="103" spans="1:12" x14ac:dyDescent="0.25">
      <c r="A103" s="19"/>
      <c r="B103" s="19"/>
      <c r="C103" s="19"/>
      <c r="D103" s="19"/>
      <c r="E103" s="19"/>
      <c r="F103" s="19"/>
      <c r="G103" s="19"/>
      <c r="H103" s="19"/>
      <c r="I103" s="19"/>
      <c r="J103" s="19"/>
      <c r="K103" s="19"/>
      <c r="L103" s="19"/>
    </row>
    <row r="104" spans="1:12" x14ac:dyDescent="0.25">
      <c r="A104" s="19"/>
      <c r="B104" s="19"/>
      <c r="C104" s="19"/>
      <c r="D104" s="19"/>
      <c r="E104" s="19"/>
      <c r="F104" s="19"/>
      <c r="G104" s="19"/>
      <c r="H104" s="19"/>
      <c r="I104" s="19"/>
      <c r="J104" s="19"/>
      <c r="K104" s="19"/>
      <c r="L104" s="19"/>
    </row>
    <row r="105" spans="1:12" x14ac:dyDescent="0.25">
      <c r="A105" s="19"/>
      <c r="B105" s="19"/>
      <c r="C105" s="19"/>
      <c r="D105" s="19"/>
      <c r="E105" s="19"/>
      <c r="F105" s="19"/>
      <c r="G105" s="19"/>
      <c r="H105" s="19"/>
      <c r="I105" s="19"/>
      <c r="J105" s="19"/>
      <c r="K105" s="19"/>
      <c r="L105" s="19"/>
    </row>
    <row r="106" spans="1:12" x14ac:dyDescent="0.25">
      <c r="A106" s="19"/>
      <c r="B106" s="19"/>
      <c r="C106" s="19"/>
      <c r="D106" s="19"/>
      <c r="E106" s="19"/>
      <c r="F106" s="19"/>
      <c r="G106" s="19"/>
      <c r="H106" s="19"/>
      <c r="I106" s="19"/>
      <c r="J106" s="19"/>
      <c r="K106" s="19"/>
      <c r="L106" s="19"/>
    </row>
    <row r="107" spans="1:12" x14ac:dyDescent="0.25">
      <c r="A107" s="415" t="s">
        <v>524</v>
      </c>
    </row>
    <row r="109" spans="1:12" x14ac:dyDescent="0.25">
      <c r="A109" s="445" t="s">
        <v>29</v>
      </c>
      <c r="B109" s="444" t="s">
        <v>40</v>
      </c>
      <c r="C109" s="444"/>
      <c r="D109" s="444"/>
      <c r="E109" s="444"/>
      <c r="F109" s="444"/>
      <c r="G109" s="444"/>
      <c r="H109" s="444"/>
    </row>
    <row r="110" spans="1:12" ht="30" x14ac:dyDescent="0.25">
      <c r="A110" s="445"/>
      <c r="B110" s="267" t="s">
        <v>199</v>
      </c>
      <c r="C110" s="268" t="s">
        <v>10</v>
      </c>
      <c r="D110" s="267" t="s">
        <v>200</v>
      </c>
      <c r="E110" s="268" t="s">
        <v>10</v>
      </c>
      <c r="F110" s="267" t="s">
        <v>201</v>
      </c>
      <c r="G110" s="268" t="s">
        <v>10</v>
      </c>
      <c r="H110" s="267" t="s">
        <v>20</v>
      </c>
    </row>
    <row r="111" spans="1:12" ht="45" x14ac:dyDescent="0.25">
      <c r="A111" s="12" t="s">
        <v>397</v>
      </c>
      <c r="B111" s="2">
        <v>0</v>
      </c>
      <c r="C111" s="8">
        <f t="shared" ref="C111:C119" si="5">B111/H111</f>
        <v>0</v>
      </c>
      <c r="D111" s="2">
        <v>2</v>
      </c>
      <c r="E111" s="8">
        <f t="shared" ref="E111:E119" si="6">D111/H111</f>
        <v>0.4</v>
      </c>
      <c r="F111" s="2">
        <v>3</v>
      </c>
      <c r="G111" s="8">
        <f t="shared" ref="G111:G119" si="7">F111/H111</f>
        <v>0.6</v>
      </c>
      <c r="H111" s="2">
        <v>5</v>
      </c>
    </row>
    <row r="112" spans="1:12" ht="30" x14ac:dyDescent="0.25">
      <c r="A112" s="12" t="s">
        <v>398</v>
      </c>
      <c r="B112" s="2">
        <v>2</v>
      </c>
      <c r="C112" s="8">
        <f t="shared" si="5"/>
        <v>4.3478260869565216E-2</v>
      </c>
      <c r="D112" s="2">
        <v>28</v>
      </c>
      <c r="E112" s="8">
        <f t="shared" si="6"/>
        <v>0.60869565217391308</v>
      </c>
      <c r="F112" s="2">
        <v>16</v>
      </c>
      <c r="G112" s="8">
        <f t="shared" si="7"/>
        <v>0.34782608695652173</v>
      </c>
      <c r="H112" s="2">
        <v>46</v>
      </c>
    </row>
    <row r="113" spans="1:8" ht="30" x14ac:dyDescent="0.25">
      <c r="A113" s="12" t="s">
        <v>399</v>
      </c>
      <c r="B113" s="2">
        <v>0</v>
      </c>
      <c r="C113" s="8">
        <f t="shared" si="5"/>
        <v>0</v>
      </c>
      <c r="D113" s="2">
        <v>4</v>
      </c>
      <c r="E113" s="8">
        <f t="shared" si="6"/>
        <v>0.8</v>
      </c>
      <c r="F113" s="2">
        <v>1</v>
      </c>
      <c r="G113" s="8">
        <f t="shared" si="7"/>
        <v>0.2</v>
      </c>
      <c r="H113" s="2">
        <v>5</v>
      </c>
    </row>
    <row r="114" spans="1:8" ht="30" x14ac:dyDescent="0.25">
      <c r="A114" s="12" t="s">
        <v>15</v>
      </c>
      <c r="B114" s="2">
        <v>0</v>
      </c>
      <c r="C114" s="8">
        <f t="shared" si="5"/>
        <v>0</v>
      </c>
      <c r="D114" s="2">
        <v>13</v>
      </c>
      <c r="E114" s="8">
        <f t="shared" si="6"/>
        <v>0.8125</v>
      </c>
      <c r="F114" s="2">
        <v>3</v>
      </c>
      <c r="G114" s="8">
        <f t="shared" si="7"/>
        <v>0.1875</v>
      </c>
      <c r="H114" s="2">
        <v>16</v>
      </c>
    </row>
    <row r="115" spans="1:8" ht="30" x14ac:dyDescent="0.25">
      <c r="A115" s="12" t="s">
        <v>16</v>
      </c>
      <c r="B115" s="2">
        <v>0</v>
      </c>
      <c r="C115" s="8">
        <f t="shared" si="5"/>
        <v>0</v>
      </c>
      <c r="D115" s="2">
        <v>17</v>
      </c>
      <c r="E115" s="8">
        <f t="shared" si="6"/>
        <v>0.94444444444444442</v>
      </c>
      <c r="F115" s="2">
        <v>1</v>
      </c>
      <c r="G115" s="8">
        <f t="shared" si="7"/>
        <v>5.5555555555555552E-2</v>
      </c>
      <c r="H115" s="2">
        <v>18</v>
      </c>
    </row>
    <row r="116" spans="1:8" ht="30" x14ac:dyDescent="0.25">
      <c r="A116" s="12" t="s">
        <v>17</v>
      </c>
      <c r="B116" s="2">
        <v>0</v>
      </c>
      <c r="C116" s="8">
        <f t="shared" si="5"/>
        <v>0</v>
      </c>
      <c r="D116" s="2">
        <v>1</v>
      </c>
      <c r="E116" s="8">
        <f t="shared" si="6"/>
        <v>0.5</v>
      </c>
      <c r="F116" s="2">
        <v>1</v>
      </c>
      <c r="G116" s="8">
        <f t="shared" si="7"/>
        <v>0.5</v>
      </c>
      <c r="H116" s="2">
        <v>2</v>
      </c>
    </row>
    <row r="117" spans="1:8" x14ac:dyDescent="0.25">
      <c r="A117" s="12" t="s">
        <v>18</v>
      </c>
      <c r="B117" s="2">
        <v>1</v>
      </c>
      <c r="C117" s="8">
        <f t="shared" si="5"/>
        <v>0.33333333333333331</v>
      </c>
      <c r="D117" s="2">
        <v>1</v>
      </c>
      <c r="E117" s="8">
        <f t="shared" si="6"/>
        <v>0.33333333333333331</v>
      </c>
      <c r="F117" s="2">
        <v>1</v>
      </c>
      <c r="G117" s="8">
        <f t="shared" si="7"/>
        <v>0.33333333333333331</v>
      </c>
      <c r="H117" s="2">
        <v>3</v>
      </c>
    </row>
    <row r="118" spans="1:8" x14ac:dyDescent="0.25">
      <c r="A118" s="12" t="s">
        <v>19</v>
      </c>
      <c r="B118" s="2">
        <v>0</v>
      </c>
      <c r="C118" s="8">
        <f t="shared" si="5"/>
        <v>0</v>
      </c>
      <c r="D118" s="2">
        <v>2</v>
      </c>
      <c r="E118" s="8">
        <f t="shared" si="6"/>
        <v>0.66666666666666663</v>
      </c>
      <c r="F118" s="2">
        <v>1</v>
      </c>
      <c r="G118" s="8">
        <f t="shared" si="7"/>
        <v>0.33333333333333331</v>
      </c>
      <c r="H118" s="2">
        <v>3</v>
      </c>
    </row>
    <row r="119" spans="1:8" x14ac:dyDescent="0.25">
      <c r="A119" s="167" t="s">
        <v>20</v>
      </c>
      <c r="B119" s="167">
        <f>SUM(B111:B118)</f>
        <v>3</v>
      </c>
      <c r="C119" s="169">
        <f t="shared" si="5"/>
        <v>3.0612244897959183E-2</v>
      </c>
      <c r="D119" s="167">
        <f>SUM(D111:D118)</f>
        <v>68</v>
      </c>
      <c r="E119" s="169">
        <f t="shared" si="6"/>
        <v>0.69387755102040816</v>
      </c>
      <c r="F119" s="167">
        <f>SUM(F111:F118)</f>
        <v>27</v>
      </c>
      <c r="G119" s="169">
        <f t="shared" si="7"/>
        <v>0.27551020408163263</v>
      </c>
      <c r="H119" s="167">
        <f>B119+D119+F119</f>
        <v>98</v>
      </c>
    </row>
    <row r="121" spans="1:8" x14ac:dyDescent="0.25">
      <c r="A121" s="458" t="s">
        <v>532</v>
      </c>
      <c r="B121" s="458"/>
      <c r="C121" s="458"/>
      <c r="D121" s="458"/>
      <c r="E121" s="458"/>
      <c r="F121" s="458"/>
      <c r="G121" s="458"/>
      <c r="H121" s="458"/>
    </row>
    <row r="123" spans="1:8" x14ac:dyDescent="0.25">
      <c r="A123" s="445" t="s">
        <v>29</v>
      </c>
      <c r="B123" s="444" t="s">
        <v>396</v>
      </c>
      <c r="C123" s="444"/>
      <c r="D123" s="444"/>
      <c r="E123" s="444"/>
      <c r="F123" s="444"/>
      <c r="G123" s="444"/>
      <c r="H123" s="444"/>
    </row>
    <row r="124" spans="1:8" ht="30" x14ac:dyDescent="0.25">
      <c r="A124" s="445"/>
      <c r="B124" s="267" t="s">
        <v>199</v>
      </c>
      <c r="C124" s="268" t="s">
        <v>10</v>
      </c>
      <c r="D124" s="267" t="s">
        <v>200</v>
      </c>
      <c r="E124" s="268" t="s">
        <v>10</v>
      </c>
      <c r="F124" s="267" t="s">
        <v>201</v>
      </c>
      <c r="G124" s="268" t="s">
        <v>10</v>
      </c>
      <c r="H124" s="267" t="s">
        <v>20</v>
      </c>
    </row>
    <row r="125" spans="1:8" ht="45" x14ac:dyDescent="0.25">
      <c r="A125" s="12" t="s">
        <v>397</v>
      </c>
      <c r="B125" s="6">
        <v>0</v>
      </c>
      <c r="C125" s="8">
        <f>B125/B133</f>
        <v>0</v>
      </c>
      <c r="D125" s="6">
        <v>1198373</v>
      </c>
      <c r="E125" s="8">
        <f>D125/D133</f>
        <v>3.3417893141759868E-3</v>
      </c>
      <c r="F125" s="6">
        <v>6671655</v>
      </c>
      <c r="G125" s="8">
        <f>F125/F133</f>
        <v>4.0243591032045792E-2</v>
      </c>
      <c r="H125" s="6">
        <f t="shared" ref="H125:H132" si="8">B125+D125+F125</f>
        <v>7870028</v>
      </c>
    </row>
    <row r="126" spans="1:8" ht="30" x14ac:dyDescent="0.25">
      <c r="A126" s="12" t="s">
        <v>398</v>
      </c>
      <c r="B126" s="6">
        <v>117225945</v>
      </c>
      <c r="C126" s="8">
        <f>B126/B133</f>
        <v>0.9435273966877622</v>
      </c>
      <c r="D126" s="6">
        <v>126864073</v>
      </c>
      <c r="E126" s="8">
        <f>D126/D133</f>
        <v>0.35377382793524415</v>
      </c>
      <c r="F126" s="6">
        <v>45205420</v>
      </c>
      <c r="G126" s="8">
        <f>F126/F133</f>
        <v>0.2726802322529962</v>
      </c>
      <c r="H126" s="6">
        <f t="shared" si="8"/>
        <v>289295438</v>
      </c>
    </row>
    <row r="127" spans="1:8" ht="30" x14ac:dyDescent="0.25">
      <c r="A127" s="12" t="s">
        <v>399</v>
      </c>
      <c r="B127" s="6">
        <v>0</v>
      </c>
      <c r="C127" s="8">
        <f>B127/B133</f>
        <v>0</v>
      </c>
      <c r="D127" s="6">
        <v>3812918</v>
      </c>
      <c r="E127" s="8">
        <f>D127/D133</f>
        <v>1.0632723390988677E-2</v>
      </c>
      <c r="F127" s="6">
        <v>645000</v>
      </c>
      <c r="G127" s="8">
        <f>F127/F133</f>
        <v>3.8906562488122565E-3</v>
      </c>
      <c r="H127" s="6">
        <f t="shared" si="8"/>
        <v>4457918</v>
      </c>
    </row>
    <row r="128" spans="1:8" ht="30" x14ac:dyDescent="0.25">
      <c r="A128" s="12" t="s">
        <v>15</v>
      </c>
      <c r="B128" s="6">
        <v>0</v>
      </c>
      <c r="C128" s="8">
        <f>B128/B133</f>
        <v>0</v>
      </c>
      <c r="D128" s="6">
        <v>30187483</v>
      </c>
      <c r="E128" s="8">
        <f>D128/D133</f>
        <v>8.418097546529274E-2</v>
      </c>
      <c r="F128" s="6">
        <v>5254121</v>
      </c>
      <c r="G128" s="8">
        <f>F128/F133</f>
        <v>3.1692990233590235E-2</v>
      </c>
      <c r="H128" s="6">
        <f t="shared" si="8"/>
        <v>35441604</v>
      </c>
    </row>
    <row r="129" spans="1:8" ht="30" x14ac:dyDescent="0.25">
      <c r="A129" s="12" t="s">
        <v>16</v>
      </c>
      <c r="B129" s="6">
        <v>0</v>
      </c>
      <c r="C129" s="8">
        <f>B129/B133</f>
        <v>0</v>
      </c>
      <c r="D129" s="6">
        <v>183043980</v>
      </c>
      <c r="E129" s="8">
        <f>D129/D133</f>
        <v>0.51043741505211071</v>
      </c>
      <c r="F129" s="6">
        <v>100000000</v>
      </c>
      <c r="G129" s="8">
        <f>F129/F133</f>
        <v>0.60320251919569867</v>
      </c>
      <c r="H129" s="6">
        <f t="shared" si="8"/>
        <v>283043980</v>
      </c>
    </row>
    <row r="130" spans="1:8" ht="30" x14ac:dyDescent="0.25">
      <c r="A130" s="12" t="s">
        <v>17</v>
      </c>
      <c r="B130" s="6">
        <v>0</v>
      </c>
      <c r="C130" s="8">
        <f>B130/B133</f>
        <v>0</v>
      </c>
      <c r="D130" s="6">
        <v>6000000</v>
      </c>
      <c r="E130" s="8">
        <f>D130/D133</f>
        <v>1.6731631875097252E-2</v>
      </c>
      <c r="F130" s="6">
        <v>4000000</v>
      </c>
      <c r="G130" s="8">
        <f>F130/F133</f>
        <v>2.4128100767827947E-2</v>
      </c>
      <c r="H130" s="6">
        <f t="shared" si="8"/>
        <v>10000000</v>
      </c>
    </row>
    <row r="131" spans="1:8" x14ac:dyDescent="0.25">
      <c r="A131" s="12" t="s">
        <v>18</v>
      </c>
      <c r="B131" s="6">
        <v>7016282</v>
      </c>
      <c r="C131" s="8">
        <f>B131/B133</f>
        <v>5.6472603312237794E-2</v>
      </c>
      <c r="D131" s="6">
        <v>998800</v>
      </c>
      <c r="E131" s="8">
        <f>D131/D133</f>
        <v>2.7852589861411892E-3</v>
      </c>
      <c r="F131" s="6">
        <v>3761925</v>
      </c>
      <c r="G131" s="8">
        <f>F131/F133</f>
        <v>2.2692026370252787E-2</v>
      </c>
      <c r="H131" s="6">
        <f t="shared" si="8"/>
        <v>11777007</v>
      </c>
    </row>
    <row r="132" spans="1:8" x14ac:dyDescent="0.25">
      <c r="A132" s="12" t="s">
        <v>19</v>
      </c>
      <c r="B132" s="6">
        <v>0</v>
      </c>
      <c r="C132" s="8">
        <f>B132/B133</f>
        <v>0</v>
      </c>
      <c r="D132" s="6">
        <v>6496573</v>
      </c>
      <c r="E132" s="8">
        <f>D132/D133</f>
        <v>1.8116377980949363E-2</v>
      </c>
      <c r="F132" s="6">
        <v>243680</v>
      </c>
      <c r="G132" s="8">
        <f>F132/F133</f>
        <v>1.4698838987760785E-3</v>
      </c>
      <c r="H132" s="6">
        <f t="shared" si="8"/>
        <v>6740253</v>
      </c>
    </row>
    <row r="133" spans="1:8" x14ac:dyDescent="0.25">
      <c r="A133" s="167" t="s">
        <v>20</v>
      </c>
      <c r="B133" s="168">
        <f t="shared" ref="B133:H133" si="9">SUM(B125:B132)</f>
        <v>124242227</v>
      </c>
      <c r="C133" s="169">
        <f t="shared" si="9"/>
        <v>1</v>
      </c>
      <c r="D133" s="168">
        <f t="shared" si="9"/>
        <v>358602200</v>
      </c>
      <c r="E133" s="169">
        <f t="shared" si="9"/>
        <v>1.0000000000000002</v>
      </c>
      <c r="F133" s="168">
        <f t="shared" si="9"/>
        <v>165781801</v>
      </c>
      <c r="G133" s="169">
        <f t="shared" si="9"/>
        <v>0.99999999999999989</v>
      </c>
      <c r="H133" s="168">
        <f t="shared" si="9"/>
        <v>648626228</v>
      </c>
    </row>
    <row r="136" spans="1:8" x14ac:dyDescent="0.25">
      <c r="A136" s="415" t="s">
        <v>400</v>
      </c>
    </row>
    <row r="137" spans="1:8" ht="9.75" customHeight="1" x14ac:dyDescent="0.25"/>
    <row r="138" spans="1:8" ht="90" x14ac:dyDescent="0.25">
      <c r="A138" s="289" t="s">
        <v>29</v>
      </c>
      <c r="B138" s="289" t="s">
        <v>533</v>
      </c>
      <c r="C138" s="289" t="s">
        <v>534</v>
      </c>
      <c r="D138" s="289" t="s">
        <v>535</v>
      </c>
    </row>
    <row r="139" spans="1:8" ht="41.25" customHeight="1" x14ac:dyDescent="0.25">
      <c r="A139" s="12" t="s">
        <v>397</v>
      </c>
      <c r="B139" s="6">
        <v>2837726</v>
      </c>
      <c r="C139" s="6">
        <f t="shared" ref="C139:C147" si="10">H125/H111</f>
        <v>1574005.6</v>
      </c>
      <c r="D139" s="8">
        <f t="shared" ref="D139:D147" si="11">(C139-B139)/B139</f>
        <v>-0.44532854828126461</v>
      </c>
    </row>
    <row r="140" spans="1:8" ht="30" x14ac:dyDescent="0.25">
      <c r="A140" s="12" t="s">
        <v>398</v>
      </c>
      <c r="B140" s="6">
        <v>5016077</v>
      </c>
      <c r="C140" s="6">
        <f t="shared" si="10"/>
        <v>6289031.2608695654</v>
      </c>
      <c r="D140" s="8">
        <f t="shared" si="11"/>
        <v>0.25377486447468117</v>
      </c>
    </row>
    <row r="141" spans="1:8" ht="30" x14ac:dyDescent="0.25">
      <c r="A141" s="12" t="s">
        <v>399</v>
      </c>
      <c r="B141" s="6">
        <v>2992011</v>
      </c>
      <c r="C141" s="6">
        <f t="shared" si="10"/>
        <v>891583.6</v>
      </c>
      <c r="D141" s="8">
        <f t="shared" si="11"/>
        <v>-0.70201192442140081</v>
      </c>
    </row>
    <row r="142" spans="1:8" ht="30" x14ac:dyDescent="0.25">
      <c r="A142" s="12" t="s">
        <v>15</v>
      </c>
      <c r="B142" s="6">
        <v>1085006</v>
      </c>
      <c r="C142" s="6">
        <f t="shared" si="10"/>
        <v>2215100.25</v>
      </c>
      <c r="D142" s="8">
        <f t="shared" si="11"/>
        <v>1.041555760981967</v>
      </c>
    </row>
    <row r="143" spans="1:8" ht="30" x14ac:dyDescent="0.25">
      <c r="A143" s="12" t="s">
        <v>16</v>
      </c>
      <c r="B143" s="6">
        <v>6483192</v>
      </c>
      <c r="C143" s="6">
        <f t="shared" si="10"/>
        <v>15724665.555555556</v>
      </c>
      <c r="D143" s="8">
        <f t="shared" si="11"/>
        <v>1.4254511597922066</v>
      </c>
    </row>
    <row r="144" spans="1:8" ht="30" x14ac:dyDescent="0.25">
      <c r="A144" s="12" t="s">
        <v>17</v>
      </c>
      <c r="B144" s="6">
        <v>820000</v>
      </c>
      <c r="C144" s="6">
        <f t="shared" si="10"/>
        <v>5000000</v>
      </c>
      <c r="D144" s="8">
        <f t="shared" si="11"/>
        <v>5.0975609756097562</v>
      </c>
    </row>
    <row r="145" spans="1:8" x14ac:dyDescent="0.25">
      <c r="A145" s="12" t="s">
        <v>18</v>
      </c>
      <c r="B145" s="6">
        <v>795965</v>
      </c>
      <c r="C145" s="6">
        <f t="shared" si="10"/>
        <v>3925669</v>
      </c>
      <c r="D145" s="8">
        <f t="shared" si="11"/>
        <v>3.9319618324926346</v>
      </c>
    </row>
    <row r="146" spans="1:8" x14ac:dyDescent="0.25">
      <c r="A146" s="12" t="s">
        <v>19</v>
      </c>
      <c r="B146" s="6">
        <v>2796601</v>
      </c>
      <c r="C146" s="6">
        <f t="shared" si="10"/>
        <v>2246751</v>
      </c>
      <c r="D146" s="8">
        <f t="shared" si="11"/>
        <v>-0.19661367495756457</v>
      </c>
    </row>
    <row r="147" spans="1:8" x14ac:dyDescent="0.25">
      <c r="A147" s="167" t="s">
        <v>20</v>
      </c>
      <c r="B147" s="134">
        <v>3952429</v>
      </c>
      <c r="C147" s="134">
        <f t="shared" si="10"/>
        <v>6618634.9795918372</v>
      </c>
      <c r="D147" s="258">
        <f t="shared" si="11"/>
        <v>0.67457403525574711</v>
      </c>
    </row>
    <row r="149" spans="1:8" x14ac:dyDescent="0.25">
      <c r="A149" s="457" t="s">
        <v>401</v>
      </c>
      <c r="B149" s="457"/>
      <c r="C149" s="457"/>
      <c r="D149" s="457"/>
      <c r="E149" s="457"/>
      <c r="F149" s="457"/>
      <c r="G149" s="457"/>
      <c r="H149" s="457"/>
    </row>
    <row r="150" spans="1:8" ht="14.25" customHeight="1" x14ac:dyDescent="0.25"/>
    <row r="151" spans="1:8" x14ac:dyDescent="0.25">
      <c r="A151" s="2"/>
      <c r="B151" s="2" t="s">
        <v>199</v>
      </c>
      <c r="C151" s="2" t="s">
        <v>339</v>
      </c>
      <c r="D151" s="2" t="s">
        <v>201</v>
      </c>
    </row>
    <row r="152" spans="1:8" ht="45" x14ac:dyDescent="0.25">
      <c r="A152" s="12" t="s">
        <v>397</v>
      </c>
      <c r="B152" s="8">
        <f t="shared" ref="B152:B159" si="12">B125/H125</f>
        <v>0</v>
      </c>
      <c r="C152" s="8">
        <f t="shared" ref="C152:C159" si="13">D125/H125</f>
        <v>0.15227048747475866</v>
      </c>
      <c r="D152" s="8">
        <f t="shared" ref="D152:D159" si="14">F125/H125</f>
        <v>0.84772951252524131</v>
      </c>
    </row>
    <row r="153" spans="1:8" ht="30" x14ac:dyDescent="0.25">
      <c r="A153" s="12" t="s">
        <v>398</v>
      </c>
      <c r="B153" s="8">
        <f t="shared" si="12"/>
        <v>0.40521186856738473</v>
      </c>
      <c r="C153" s="8">
        <f t="shared" si="13"/>
        <v>0.43852773440554565</v>
      </c>
      <c r="D153" s="8">
        <f t="shared" si="14"/>
        <v>0.15626039702706962</v>
      </c>
    </row>
    <row r="154" spans="1:8" ht="30" x14ac:dyDescent="0.25">
      <c r="A154" s="12" t="s">
        <v>399</v>
      </c>
      <c r="B154" s="8">
        <f t="shared" si="12"/>
        <v>0</v>
      </c>
      <c r="C154" s="8">
        <f t="shared" si="13"/>
        <v>0.85531362398321364</v>
      </c>
      <c r="D154" s="8">
        <f t="shared" si="14"/>
        <v>0.1446863760167863</v>
      </c>
    </row>
    <row r="155" spans="1:8" ht="30" x14ac:dyDescent="0.25">
      <c r="A155" s="12" t="s">
        <v>15</v>
      </c>
      <c r="B155" s="8">
        <f t="shared" si="12"/>
        <v>0</v>
      </c>
      <c r="C155" s="8">
        <f t="shared" si="13"/>
        <v>0.85175273105585181</v>
      </c>
      <c r="D155" s="8">
        <f t="shared" si="14"/>
        <v>0.14824726894414825</v>
      </c>
    </row>
    <row r="156" spans="1:8" ht="30" x14ac:dyDescent="0.25">
      <c r="A156" s="12" t="s">
        <v>16</v>
      </c>
      <c r="B156" s="8">
        <f t="shared" si="12"/>
        <v>0</v>
      </c>
      <c r="C156" s="8">
        <f t="shared" si="13"/>
        <v>0.64669801491626844</v>
      </c>
      <c r="D156" s="8">
        <f t="shared" si="14"/>
        <v>0.35330198508373151</v>
      </c>
    </row>
    <row r="157" spans="1:8" ht="30" x14ac:dyDescent="0.25">
      <c r="A157" s="12" t="s">
        <v>17</v>
      </c>
      <c r="B157" s="8">
        <f t="shared" si="12"/>
        <v>0</v>
      </c>
      <c r="C157" s="8">
        <f t="shared" si="13"/>
        <v>0.6</v>
      </c>
      <c r="D157" s="8">
        <f t="shared" si="14"/>
        <v>0.4</v>
      </c>
    </row>
    <row r="158" spans="1:8" x14ac:dyDescent="0.25">
      <c r="A158" s="12" t="s">
        <v>18</v>
      </c>
      <c r="B158" s="8">
        <f t="shared" si="12"/>
        <v>0.5957610452299128</v>
      </c>
      <c r="C158" s="8">
        <f t="shared" si="13"/>
        <v>8.4809323795086475E-2</v>
      </c>
      <c r="D158" s="8">
        <f t="shared" si="14"/>
        <v>0.31942963097500071</v>
      </c>
    </row>
    <row r="159" spans="1:8" x14ac:dyDescent="0.25">
      <c r="A159" s="12" t="s">
        <v>19</v>
      </c>
      <c r="B159" s="8">
        <f t="shared" si="12"/>
        <v>0</v>
      </c>
      <c r="C159" s="8">
        <f t="shared" si="13"/>
        <v>0.9638470544058213</v>
      </c>
      <c r="D159" s="8">
        <f t="shared" si="14"/>
        <v>3.6152945594178733E-2</v>
      </c>
    </row>
  </sheetData>
  <mergeCells count="18">
    <mergeCell ref="A109:A110"/>
    <mergeCell ref="A123:A124"/>
    <mergeCell ref="B123:H123"/>
    <mergeCell ref="A149:H149"/>
    <mergeCell ref="A70:E71"/>
    <mergeCell ref="A87:A88"/>
    <mergeCell ref="B87:D87"/>
    <mergeCell ref="E87:G87"/>
    <mergeCell ref="H87:J87"/>
    <mergeCell ref="A94:E95"/>
    <mergeCell ref="B109:H109"/>
    <mergeCell ref="A121:H121"/>
    <mergeCell ref="A85:K85"/>
    <mergeCell ref="B63:D63"/>
    <mergeCell ref="A63:A64"/>
    <mergeCell ref="E63:G63"/>
    <mergeCell ref="H63:J63"/>
    <mergeCell ref="A61:K61"/>
  </mergeCells>
  <conditionalFormatting sqref="B89:B91">
    <cfRule type="iconSet" priority="67">
      <iconSet iconSet="3Arrows">
        <cfvo type="percent" val="0"/>
        <cfvo type="percent" val="33"/>
        <cfvo type="percent" val="67"/>
      </iconSet>
    </cfRule>
  </conditionalFormatting>
  <conditionalFormatting sqref="C89:C91">
    <cfRule type="iconSet" priority="66">
      <iconSet iconSet="3Arrows">
        <cfvo type="percent" val="0"/>
        <cfvo type="percent" val="33"/>
        <cfvo type="percent" val="67"/>
      </iconSet>
    </cfRule>
  </conditionalFormatting>
  <conditionalFormatting sqref="I89:I91">
    <cfRule type="iconSet" priority="65">
      <iconSet iconSet="3Arrows">
        <cfvo type="percent" val="0"/>
        <cfvo type="percent" val="33"/>
        <cfvo type="percent" val="67"/>
      </iconSet>
    </cfRule>
  </conditionalFormatting>
  <conditionalFormatting sqref="H89:H91">
    <cfRule type="iconSet" priority="64">
      <iconSet iconSet="3Arrows">
        <cfvo type="percent" val="0"/>
        <cfvo type="percent" val="33"/>
        <cfvo type="percent" val="67"/>
      </iconSet>
    </cfRule>
  </conditionalFormatting>
  <conditionalFormatting sqref="E89:E91">
    <cfRule type="iconSet" priority="63">
      <iconSet iconSet="3Arrows">
        <cfvo type="percent" val="0"/>
        <cfvo type="percent" val="33"/>
        <cfvo type="percent" val="67"/>
      </iconSet>
    </cfRule>
  </conditionalFormatting>
  <conditionalFormatting sqref="F89:F91">
    <cfRule type="iconSet" priority="62">
      <iconSet iconSet="3Arrows">
        <cfvo type="percent" val="0"/>
        <cfvo type="percent" val="33"/>
        <cfvo type="percent" val="67"/>
      </iconSet>
    </cfRule>
  </conditionalFormatting>
  <conditionalFormatting sqref="B74:B76">
    <cfRule type="iconSet" priority="15">
      <iconSet iconSet="3Arrows">
        <cfvo type="percent" val="0"/>
        <cfvo type="percent" val="33"/>
        <cfvo type="percent" val="67"/>
      </iconSet>
    </cfRule>
  </conditionalFormatting>
  <conditionalFormatting sqref="C74:C76">
    <cfRule type="iconSet" priority="60">
      <iconSet iconSet="3Arrows">
        <cfvo type="percent" val="0"/>
        <cfvo type="percent" val="33"/>
        <cfvo type="percent" val="67"/>
      </iconSet>
    </cfRule>
  </conditionalFormatting>
  <conditionalFormatting sqref="D74:D76">
    <cfRule type="iconSet" priority="59">
      <iconSet iconSet="3Arrows">
        <cfvo type="percent" val="0"/>
        <cfvo type="percent" val="33"/>
        <cfvo type="percent" val="67"/>
      </iconSet>
    </cfRule>
  </conditionalFormatting>
  <conditionalFormatting sqref="E74:E76">
    <cfRule type="iconSet" priority="58">
      <iconSet iconSet="3Arrows">
        <cfvo type="percent" val="0"/>
        <cfvo type="percent" val="33"/>
        <cfvo type="percent" val="67"/>
      </iconSet>
    </cfRule>
  </conditionalFormatting>
  <conditionalFormatting sqref="B65:B67">
    <cfRule type="iconSet" priority="24">
      <iconSet iconSet="3Arrows">
        <cfvo type="percent" val="0"/>
        <cfvo type="percent" val="33"/>
        <cfvo type="percent" val="67"/>
      </iconSet>
    </cfRule>
  </conditionalFormatting>
  <conditionalFormatting sqref="C65:C67">
    <cfRule type="iconSet" priority="23">
      <iconSet iconSet="3Arrows">
        <cfvo type="percent" val="0"/>
        <cfvo type="percent" val="33"/>
        <cfvo type="percent" val="67"/>
      </iconSet>
    </cfRule>
  </conditionalFormatting>
  <conditionalFormatting sqref="H65:H67">
    <cfRule type="iconSet" priority="55">
      <iconSet iconSet="3Arrows">
        <cfvo type="percent" val="0"/>
        <cfvo type="percent" val="33"/>
        <cfvo type="percent" val="67"/>
      </iconSet>
    </cfRule>
  </conditionalFormatting>
  <conditionalFormatting sqref="E65:E67">
    <cfRule type="iconSet" priority="53">
      <iconSet iconSet="3Arrows">
        <cfvo type="percent" val="0"/>
        <cfvo type="percent" val="33"/>
        <cfvo type="percent" val="67"/>
      </iconSet>
    </cfRule>
  </conditionalFormatting>
  <conditionalFormatting sqref="F65:F67">
    <cfRule type="iconSet" priority="52">
      <iconSet iconSet="3Arrows">
        <cfvo type="percent" val="0"/>
        <cfvo type="percent" val="33"/>
        <cfvo type="percent" val="67"/>
      </iconSet>
    </cfRule>
  </conditionalFormatting>
  <conditionalFormatting sqref="B32:B38">
    <cfRule type="iconSet" priority="28">
      <iconSet iconSet="3Arrows">
        <cfvo type="percent" val="0"/>
        <cfvo type="percent" val="33"/>
        <cfvo type="percent" val="67"/>
      </iconSet>
    </cfRule>
    <cfRule type="top10" dxfId="19" priority="32" percent="1" rank="10"/>
  </conditionalFormatting>
  <conditionalFormatting sqref="C32:C38">
    <cfRule type="iconSet" priority="27">
      <iconSet iconSet="3Arrows">
        <cfvo type="percent" val="0"/>
        <cfvo type="percent" val="33"/>
        <cfvo type="percent" val="67"/>
      </iconSet>
    </cfRule>
    <cfRule type="top10" dxfId="18" priority="31" percent="1" rank="10"/>
  </conditionalFormatting>
  <conditionalFormatting sqref="D32:D38">
    <cfRule type="iconSet" priority="26">
      <iconSet iconSet="3Arrows">
        <cfvo type="percent" val="0"/>
        <cfvo type="percent" val="33"/>
        <cfvo type="percent" val="67"/>
      </iconSet>
    </cfRule>
    <cfRule type="top10" dxfId="17" priority="30" percent="1" rank="10"/>
  </conditionalFormatting>
  <conditionalFormatting sqref="E32:E38">
    <cfRule type="iconSet" priority="25">
      <iconSet iconSet="3Arrows">
        <cfvo type="percent" val="0"/>
        <cfvo type="percent" val="33"/>
        <cfvo type="percent" val="67"/>
      </iconSet>
    </cfRule>
    <cfRule type="top10" dxfId="16" priority="29" percent="1" rank="10"/>
  </conditionalFormatting>
  <conditionalFormatting sqref="B98:B100">
    <cfRule type="iconSet" priority="43">
      <iconSet iconSet="3Arrows">
        <cfvo type="percent" val="0"/>
        <cfvo type="percent" val="33"/>
        <cfvo type="percent" val="67"/>
      </iconSet>
    </cfRule>
  </conditionalFormatting>
  <conditionalFormatting sqref="C98:C100">
    <cfRule type="iconSet" priority="42">
      <iconSet iconSet="3Arrows">
        <cfvo type="percent" val="0"/>
        <cfvo type="percent" val="33"/>
        <cfvo type="percent" val="67"/>
      </iconSet>
    </cfRule>
  </conditionalFormatting>
  <conditionalFormatting sqref="D98:D100">
    <cfRule type="iconSet" priority="41">
      <iconSet iconSet="3Arrows">
        <cfvo type="percent" val="0"/>
        <cfvo type="percent" val="33"/>
        <cfvo type="percent" val="67"/>
      </iconSet>
    </cfRule>
  </conditionalFormatting>
  <conditionalFormatting sqref="E98:E100">
    <cfRule type="iconSet" priority="40">
      <iconSet iconSet="3Arrows">
        <cfvo type="percent" val="0"/>
        <cfvo type="percent" val="33"/>
        <cfvo type="percent" val="67"/>
      </iconSet>
    </cfRule>
  </conditionalFormatting>
  <conditionalFormatting sqref="B125:B132">
    <cfRule type="iconSet" priority="39">
      <iconSet iconSet="3Arrows">
        <cfvo type="percent" val="0"/>
        <cfvo type="percent" val="33"/>
        <cfvo type="percent" val="67"/>
      </iconSet>
    </cfRule>
  </conditionalFormatting>
  <conditionalFormatting sqref="D111:D118">
    <cfRule type="iconSet" priority="38">
      <iconSet iconSet="3Arrows">
        <cfvo type="percent" val="0"/>
        <cfvo type="percent" val="33"/>
        <cfvo type="percent" val="67"/>
      </iconSet>
    </cfRule>
  </conditionalFormatting>
  <conditionalFormatting sqref="F111:F118">
    <cfRule type="iconSet" priority="37">
      <iconSet iconSet="3Arrows">
        <cfvo type="percent" val="0"/>
        <cfvo type="percent" val="33"/>
        <cfvo type="percent" val="67"/>
      </iconSet>
    </cfRule>
  </conditionalFormatting>
  <conditionalFormatting sqref="B111:B118">
    <cfRule type="iconSet" priority="36">
      <iconSet iconSet="3Arrows">
        <cfvo type="percent" val="0"/>
        <cfvo type="percent" val="33"/>
        <cfvo type="percent" val="67"/>
      </iconSet>
    </cfRule>
  </conditionalFormatting>
  <conditionalFormatting sqref="D125:D132">
    <cfRule type="iconSet" priority="2">
      <iconSet iconSet="3Arrows">
        <cfvo type="percent" val="0"/>
        <cfvo type="percent" val="33"/>
        <cfvo type="percent" val="67"/>
      </iconSet>
    </cfRule>
  </conditionalFormatting>
  <conditionalFormatting sqref="F125:F132">
    <cfRule type="iconSet" priority="1">
      <iconSet iconSet="3Arrows">
        <cfvo type="percent" val="0"/>
        <cfvo type="percent" val="33"/>
        <cfvo type="percent" val="67"/>
      </iconSet>
    </cfRule>
  </conditionalFormatting>
  <conditionalFormatting sqref="H125:H132">
    <cfRule type="iconSet" priority="33">
      <iconSet iconSet="3Arrows">
        <cfvo type="percent" val="0"/>
        <cfvo type="percent" val="33"/>
        <cfvo type="percent" val="67"/>
      </iconSet>
    </cfRule>
  </conditionalFormatting>
  <conditionalFormatting sqref="B65:C65">
    <cfRule type="iconSet" priority="19">
      <iconSet iconSet="3Arrows">
        <cfvo type="percent" val="0"/>
        <cfvo type="percent" val="33"/>
        <cfvo type="percent" val="67"/>
      </iconSet>
    </cfRule>
  </conditionalFormatting>
  <conditionalFormatting sqref="B66:C66">
    <cfRule type="iconSet" priority="21">
      <iconSet iconSet="3Arrows">
        <cfvo type="percent" val="0"/>
        <cfvo type="percent" val="33"/>
        <cfvo type="percent" val="67"/>
      </iconSet>
    </cfRule>
  </conditionalFormatting>
  <conditionalFormatting sqref="B67:C67">
    <cfRule type="iconSet" priority="20">
      <iconSet iconSet="3Arrows">
        <cfvo type="percent" val="0"/>
        <cfvo type="percent" val="33"/>
        <cfvo type="percent" val="67"/>
      </iconSet>
    </cfRule>
  </conditionalFormatting>
  <conditionalFormatting sqref="E65:F65">
    <cfRule type="iconSet" priority="18">
      <iconSet iconSet="3Arrows">
        <cfvo type="percent" val="0"/>
        <cfvo type="percent" val="33"/>
        <cfvo type="percent" val="67"/>
      </iconSet>
    </cfRule>
  </conditionalFormatting>
  <conditionalFormatting sqref="E66:F66">
    <cfRule type="iconSet" priority="17">
      <iconSet iconSet="3Arrows">
        <cfvo type="percent" val="0"/>
        <cfvo type="percent" val="33"/>
        <cfvo type="percent" val="67"/>
      </iconSet>
    </cfRule>
  </conditionalFormatting>
  <conditionalFormatting sqref="E67:F67">
    <cfRule type="iconSet" priority="16">
      <iconSet iconSet="3Arrows">
        <cfvo type="percent" val="0"/>
        <cfvo type="percent" val="33"/>
        <cfvo type="percent" val="67"/>
      </iconSet>
    </cfRule>
  </conditionalFormatting>
  <conditionalFormatting sqref="B74:F74">
    <cfRule type="iconSet" priority="14">
      <iconSet iconSet="3Arrows">
        <cfvo type="percent" val="0"/>
        <cfvo type="percent" val="33"/>
        <cfvo type="percent" val="67"/>
      </iconSet>
    </cfRule>
  </conditionalFormatting>
  <conditionalFormatting sqref="B75:F75">
    <cfRule type="iconSet" priority="13">
      <iconSet iconSet="3Arrows">
        <cfvo type="percent" val="0"/>
        <cfvo type="percent" val="33"/>
        <cfvo type="percent" val="67"/>
      </iconSet>
    </cfRule>
  </conditionalFormatting>
  <conditionalFormatting sqref="B76:F76">
    <cfRule type="iconSet" priority="12">
      <iconSet iconSet="3Arrows">
        <cfvo type="percent" val="0"/>
        <cfvo type="percent" val="33"/>
        <cfvo type="percent" val="67"/>
      </iconSet>
    </cfRule>
  </conditionalFormatting>
  <conditionalFormatting sqref="B89:C89">
    <cfRule type="iconSet" priority="11">
      <iconSet iconSet="3Arrows">
        <cfvo type="percent" val="0"/>
        <cfvo type="percent" val="33"/>
        <cfvo type="percent" val="67"/>
      </iconSet>
    </cfRule>
  </conditionalFormatting>
  <conditionalFormatting sqref="B90:C90">
    <cfRule type="iconSet" priority="10">
      <iconSet iconSet="3Arrows">
        <cfvo type="percent" val="0"/>
        <cfvo type="percent" val="33"/>
        <cfvo type="percent" val="67"/>
      </iconSet>
    </cfRule>
  </conditionalFormatting>
  <conditionalFormatting sqref="B91:C91">
    <cfRule type="iconSet" priority="9">
      <iconSet iconSet="3Arrows">
        <cfvo type="percent" val="0"/>
        <cfvo type="percent" val="33"/>
        <cfvo type="percent" val="67"/>
      </iconSet>
    </cfRule>
  </conditionalFormatting>
  <conditionalFormatting sqref="E89:F89">
    <cfRule type="iconSet" priority="8">
      <iconSet iconSet="3Arrows">
        <cfvo type="percent" val="0"/>
        <cfvo type="percent" val="33"/>
        <cfvo type="percent" val="67"/>
      </iconSet>
    </cfRule>
  </conditionalFormatting>
  <conditionalFormatting sqref="E90:F90">
    <cfRule type="iconSet" priority="7">
      <iconSet iconSet="3Arrows">
        <cfvo type="percent" val="0"/>
        <cfvo type="percent" val="33"/>
        <cfvo type="percent" val="67"/>
      </iconSet>
    </cfRule>
  </conditionalFormatting>
  <conditionalFormatting sqref="E91:F91">
    <cfRule type="iconSet" priority="6">
      <iconSet iconSet="3Arrows">
        <cfvo type="percent" val="0"/>
        <cfvo type="percent" val="33"/>
        <cfvo type="percent" val="67"/>
      </iconSet>
    </cfRule>
  </conditionalFormatting>
  <conditionalFormatting sqref="H89:I89">
    <cfRule type="iconSet" priority="5">
      <iconSet iconSet="3Arrows">
        <cfvo type="percent" val="0"/>
        <cfvo type="percent" val="33"/>
        <cfvo type="percent" val="67"/>
      </iconSet>
    </cfRule>
  </conditionalFormatting>
  <conditionalFormatting sqref="H90:I90">
    <cfRule type="iconSet" priority="4">
      <iconSet iconSet="3Arrows">
        <cfvo type="percent" val="0"/>
        <cfvo type="percent" val="33"/>
        <cfvo type="percent" val="67"/>
      </iconSet>
    </cfRule>
  </conditionalFormatting>
  <conditionalFormatting sqref="H91:I91">
    <cfRule type="iconSet" priority="3">
      <iconSet iconSet="3Arrows">
        <cfvo type="percent" val="0"/>
        <cfvo type="percent" val="33"/>
        <cfvo type="percent" val="67"/>
      </iconSet>
    </cfRule>
  </conditionalFormatting>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4"/>
  <sheetViews>
    <sheetView workbookViewId="0">
      <selection activeCell="P11" sqref="P10:P11"/>
    </sheetView>
  </sheetViews>
  <sheetFormatPr defaultRowHeight="15" x14ac:dyDescent="0.25"/>
  <cols>
    <col min="1" max="1" width="10.28515625" customWidth="1"/>
    <col min="2" max="2" width="13.140625" customWidth="1"/>
    <col min="5" max="5" width="10.140625" customWidth="1"/>
    <col min="7" max="7" width="10.28515625" customWidth="1"/>
    <col min="9" max="9" width="11.7109375" customWidth="1"/>
    <col min="12" max="12" width="9.85546875" bestFit="1" customWidth="1"/>
  </cols>
  <sheetData>
    <row r="1" spans="1:13" x14ac:dyDescent="0.25">
      <c r="A1" s="415" t="s">
        <v>536</v>
      </c>
      <c r="B1" s="132"/>
    </row>
    <row r="2" spans="1:13" ht="7.5" customHeight="1" x14ac:dyDescent="0.25"/>
    <row r="3" spans="1:13" ht="26.25" customHeight="1" x14ac:dyDescent="0.25">
      <c r="A3" s="444" t="s">
        <v>367</v>
      </c>
      <c r="B3" s="444"/>
      <c r="C3" s="444" t="s">
        <v>368</v>
      </c>
      <c r="D3" s="444"/>
      <c r="E3" s="444" t="s">
        <v>370</v>
      </c>
      <c r="F3" s="444"/>
      <c r="G3" s="444" t="s">
        <v>231</v>
      </c>
      <c r="H3" s="444"/>
      <c r="I3" s="445" t="s">
        <v>6</v>
      </c>
      <c r="J3" s="445"/>
    </row>
    <row r="4" spans="1:13" ht="60" x14ac:dyDescent="0.25">
      <c r="A4" s="444"/>
      <c r="B4" s="444"/>
      <c r="C4" s="201" t="s">
        <v>369</v>
      </c>
      <c r="D4" s="202" t="s">
        <v>10</v>
      </c>
      <c r="E4" s="202" t="s">
        <v>371</v>
      </c>
      <c r="F4" s="202" t="s">
        <v>372</v>
      </c>
      <c r="G4" s="202" t="s">
        <v>371</v>
      </c>
      <c r="H4" s="202" t="s">
        <v>372</v>
      </c>
      <c r="I4" s="202" t="s">
        <v>373</v>
      </c>
      <c r="J4" s="202" t="s">
        <v>10</v>
      </c>
    </row>
    <row r="5" spans="1:13" x14ac:dyDescent="0.25">
      <c r="A5" s="435" t="s">
        <v>374</v>
      </c>
      <c r="B5" s="435"/>
      <c r="C5" s="71">
        <v>51</v>
      </c>
      <c r="D5" s="73">
        <f>C5/C10</f>
        <v>0.52040816326530615</v>
      </c>
      <c r="E5" s="359" t="s">
        <v>630</v>
      </c>
      <c r="F5" s="73">
        <v>0.34300000000000003</v>
      </c>
      <c r="G5" s="359" t="s">
        <v>629</v>
      </c>
      <c r="H5" s="73">
        <v>0.92900000000000005</v>
      </c>
      <c r="I5" s="179">
        <v>236059472</v>
      </c>
      <c r="J5" s="73">
        <f>I5/I10</f>
        <v>0.36393759889709548</v>
      </c>
    </row>
    <row r="6" spans="1:13" x14ac:dyDescent="0.25">
      <c r="A6" s="435" t="s">
        <v>375</v>
      </c>
      <c r="B6" s="435"/>
      <c r="C6" s="71">
        <v>0</v>
      </c>
      <c r="D6" s="73">
        <f>C6/C10</f>
        <v>0</v>
      </c>
      <c r="E6" s="358">
        <v>0</v>
      </c>
      <c r="F6" s="73">
        <v>0</v>
      </c>
      <c r="G6" s="71">
        <v>0</v>
      </c>
      <c r="H6" s="73">
        <f>0/144</f>
        <v>0</v>
      </c>
      <c r="I6" s="179">
        <v>0</v>
      </c>
      <c r="J6" s="73">
        <f>I6/I10</f>
        <v>0</v>
      </c>
    </row>
    <row r="7" spans="1:13" ht="45" x14ac:dyDescent="0.25">
      <c r="A7" s="460" t="s">
        <v>377</v>
      </c>
      <c r="B7" s="12" t="s">
        <v>228</v>
      </c>
      <c r="C7" s="71">
        <v>13</v>
      </c>
      <c r="D7" s="73">
        <f>C7/C9</f>
        <v>0.27659574468085107</v>
      </c>
      <c r="E7" s="359" t="s">
        <v>540</v>
      </c>
      <c r="F7" s="73">
        <v>0.44800000000000001</v>
      </c>
      <c r="G7" s="71">
        <v>0</v>
      </c>
      <c r="H7" s="73">
        <f>0/36</f>
        <v>0</v>
      </c>
      <c r="I7" s="179">
        <v>33243102</v>
      </c>
      <c r="J7" s="73">
        <f>I7/I9</f>
        <v>8.0576298299710802E-2</v>
      </c>
    </row>
    <row r="8" spans="1:13" ht="45" x14ac:dyDescent="0.25">
      <c r="A8" s="460"/>
      <c r="B8" s="12" t="s">
        <v>376</v>
      </c>
      <c r="C8" s="71">
        <v>34</v>
      </c>
      <c r="D8" s="73">
        <f>C8/C9</f>
        <v>0.72340425531914898</v>
      </c>
      <c r="E8" s="359" t="s">
        <v>605</v>
      </c>
      <c r="F8" s="73">
        <v>0.55200000000000005</v>
      </c>
      <c r="G8" s="359" t="s">
        <v>606</v>
      </c>
      <c r="H8" s="73">
        <f>36/36</f>
        <v>1</v>
      </c>
      <c r="I8" s="179">
        <v>379323654</v>
      </c>
      <c r="J8" s="73">
        <f>I8/I9</f>
        <v>0.9194237017002892</v>
      </c>
    </row>
    <row r="9" spans="1:13" x14ac:dyDescent="0.25">
      <c r="A9" s="460"/>
      <c r="B9" s="260" t="s">
        <v>20</v>
      </c>
      <c r="C9" s="356">
        <f>SUM(C7:C8)</f>
        <v>47</v>
      </c>
      <c r="D9" s="357">
        <f>C9/C10</f>
        <v>0.47959183673469385</v>
      </c>
      <c r="E9" s="405" t="s">
        <v>607</v>
      </c>
      <c r="F9" s="357">
        <v>0.65700000000000003</v>
      </c>
      <c r="G9" s="405" t="s">
        <v>606</v>
      </c>
      <c r="H9" s="357">
        <v>7.0999999999999994E-2</v>
      </c>
      <c r="I9" s="406">
        <f>I8+I7</f>
        <v>412566756</v>
      </c>
      <c r="J9" s="357">
        <f>I9/I10</f>
        <v>0.63606240110290457</v>
      </c>
    </row>
    <row r="10" spans="1:13" ht="14.25" customHeight="1" x14ac:dyDescent="0.25">
      <c r="A10" s="459" t="s">
        <v>378</v>
      </c>
      <c r="B10" s="459"/>
      <c r="C10" s="74">
        <f>C5+C6+C9</f>
        <v>98</v>
      </c>
      <c r="D10" s="258">
        <f>D5+D6+D9</f>
        <v>1</v>
      </c>
      <c r="E10" s="259" t="s">
        <v>631</v>
      </c>
      <c r="F10" s="258">
        <f>F5+F6+F9</f>
        <v>1</v>
      </c>
      <c r="G10" s="259" t="s">
        <v>628</v>
      </c>
      <c r="H10" s="258">
        <f>H5+H6+H9</f>
        <v>1</v>
      </c>
      <c r="I10" s="134">
        <f>I5+I6+I7+I8</f>
        <v>648626228</v>
      </c>
      <c r="J10" s="258">
        <f>J5+J6+J9</f>
        <v>1</v>
      </c>
    </row>
    <row r="11" spans="1:13" ht="8.25" customHeight="1" x14ac:dyDescent="0.25"/>
    <row r="12" spans="1:13" ht="30.75" customHeight="1" x14ac:dyDescent="0.25">
      <c r="A12" s="458" t="s">
        <v>537</v>
      </c>
      <c r="B12" s="458"/>
      <c r="C12" s="458"/>
      <c r="D12" s="458"/>
      <c r="E12" s="458"/>
      <c r="F12" s="458"/>
      <c r="G12" s="458"/>
      <c r="H12" s="458"/>
      <c r="I12" s="458"/>
      <c r="J12" s="458"/>
      <c r="K12" s="458"/>
      <c r="L12" s="458"/>
      <c r="M12" s="458"/>
    </row>
    <row r="13" spans="1:13" ht="12.75" customHeight="1" x14ac:dyDescent="0.25"/>
    <row r="14" spans="1:13" ht="57" customHeight="1" x14ac:dyDescent="0.25">
      <c r="A14" s="444" t="s">
        <v>379</v>
      </c>
      <c r="B14" s="444"/>
      <c r="C14" s="444"/>
      <c r="D14" s="444"/>
      <c r="E14" s="444"/>
      <c r="F14" s="444"/>
      <c r="G14" s="444"/>
      <c r="H14" s="444"/>
      <c r="I14" s="444"/>
      <c r="J14" s="444"/>
      <c r="K14" s="202" t="s">
        <v>151</v>
      </c>
      <c r="L14" s="202" t="s">
        <v>6</v>
      </c>
      <c r="M14" s="202" t="s">
        <v>10</v>
      </c>
    </row>
    <row r="15" spans="1:13" ht="61.5" customHeight="1" x14ac:dyDescent="0.25">
      <c r="A15" s="436" t="s">
        <v>541</v>
      </c>
      <c r="B15" s="436"/>
      <c r="C15" s="436"/>
      <c r="D15" s="436"/>
      <c r="E15" s="436"/>
      <c r="F15" s="436"/>
      <c r="G15" s="436"/>
      <c r="H15" s="436"/>
      <c r="I15" s="436"/>
      <c r="J15" s="436"/>
      <c r="K15" s="2">
        <v>1</v>
      </c>
      <c r="L15" s="6">
        <v>3944000</v>
      </c>
      <c r="M15" s="8">
        <f>L15/L19</f>
        <v>0.1186411544867263</v>
      </c>
    </row>
    <row r="16" spans="1:13" ht="33" customHeight="1" x14ac:dyDescent="0.25">
      <c r="A16" s="436" t="s">
        <v>380</v>
      </c>
      <c r="B16" s="436"/>
      <c r="C16" s="436"/>
      <c r="D16" s="436"/>
      <c r="E16" s="436"/>
      <c r="F16" s="436"/>
      <c r="G16" s="436"/>
      <c r="H16" s="436"/>
      <c r="I16" s="436"/>
      <c r="J16" s="436"/>
      <c r="K16" s="359">
        <v>26</v>
      </c>
      <c r="L16" s="179">
        <v>20136172</v>
      </c>
      <c r="M16" s="73">
        <f>L16/L19</f>
        <v>0.60572482074627088</v>
      </c>
    </row>
    <row r="17" spans="1:13" ht="43.5" customHeight="1" x14ac:dyDescent="0.25">
      <c r="A17" s="461" t="s">
        <v>542</v>
      </c>
      <c r="B17" s="461"/>
      <c r="C17" s="461"/>
      <c r="D17" s="461"/>
      <c r="E17" s="461"/>
      <c r="F17" s="461"/>
      <c r="G17" s="461"/>
      <c r="H17" s="461"/>
      <c r="I17" s="461"/>
      <c r="J17" s="462"/>
      <c r="K17" s="359">
        <v>2</v>
      </c>
      <c r="L17" s="179">
        <v>8362930</v>
      </c>
      <c r="M17" s="73">
        <f>L17/L19</f>
        <v>0.25156888186908671</v>
      </c>
    </row>
    <row r="18" spans="1:13" ht="31.5" customHeight="1" x14ac:dyDescent="0.25">
      <c r="A18" s="436" t="s">
        <v>381</v>
      </c>
      <c r="B18" s="436"/>
      <c r="C18" s="436"/>
      <c r="D18" s="436"/>
      <c r="E18" s="436"/>
      <c r="F18" s="436"/>
      <c r="G18" s="436"/>
      <c r="H18" s="436"/>
      <c r="I18" s="436"/>
      <c r="J18" s="436"/>
      <c r="K18" s="359">
        <v>1</v>
      </c>
      <c r="L18" s="179">
        <v>800000</v>
      </c>
      <c r="M18" s="73">
        <f>L18/L19</f>
        <v>2.4065142897916086E-2</v>
      </c>
    </row>
    <row r="19" spans="1:13" x14ac:dyDescent="0.25">
      <c r="A19" s="254" t="s">
        <v>11</v>
      </c>
      <c r="B19" s="211"/>
      <c r="C19" s="211"/>
      <c r="D19" s="211"/>
      <c r="E19" s="211"/>
      <c r="F19" s="211"/>
      <c r="G19" s="211"/>
      <c r="H19" s="211"/>
      <c r="I19" s="211"/>
      <c r="J19" s="212"/>
      <c r="K19" s="255">
        <f>SUM(K15:K18)</f>
        <v>30</v>
      </c>
      <c r="L19" s="168">
        <f>SUM(L15:L18)</f>
        <v>33243102</v>
      </c>
      <c r="M19" s="169">
        <f>SUM(M15:M18)</f>
        <v>0.99999999999999989</v>
      </c>
    </row>
    <row r="20" spans="1:13" x14ac:dyDescent="0.25">
      <c r="K20" s="251"/>
    </row>
    <row r="23" spans="1:13" x14ac:dyDescent="0.25">
      <c r="A23" s="415" t="s">
        <v>538</v>
      </c>
    </row>
    <row r="25" spans="1:13" ht="30.75" customHeight="1" x14ac:dyDescent="0.25">
      <c r="A25" s="455" t="s">
        <v>374</v>
      </c>
      <c r="B25" s="451"/>
      <c r="C25" s="445" t="s">
        <v>375</v>
      </c>
      <c r="D25" s="445"/>
      <c r="E25" s="445" t="s">
        <v>377</v>
      </c>
      <c r="F25" s="445"/>
      <c r="G25" s="444" t="s">
        <v>20</v>
      </c>
      <c r="H25" s="444"/>
      <c r="I25" s="445" t="s">
        <v>6</v>
      </c>
      <c r="J25" s="445"/>
    </row>
    <row r="26" spans="1:13" ht="30" x14ac:dyDescent="0.25">
      <c r="A26" s="203" t="s">
        <v>369</v>
      </c>
      <c r="B26" s="203" t="s">
        <v>10</v>
      </c>
      <c r="C26" s="203" t="s">
        <v>369</v>
      </c>
      <c r="D26" s="200" t="s">
        <v>10</v>
      </c>
      <c r="E26" s="203" t="s">
        <v>369</v>
      </c>
      <c r="F26" s="200" t="s">
        <v>10</v>
      </c>
      <c r="G26" s="203" t="s">
        <v>369</v>
      </c>
      <c r="H26" s="200" t="s">
        <v>10</v>
      </c>
      <c r="I26" s="200" t="s">
        <v>373</v>
      </c>
      <c r="J26" s="200" t="s">
        <v>10</v>
      </c>
    </row>
    <row r="27" spans="1:13" x14ac:dyDescent="0.25">
      <c r="A27" s="252" t="s">
        <v>12</v>
      </c>
      <c r="B27" s="207"/>
      <c r="C27" s="207"/>
      <c r="D27" s="207"/>
      <c r="E27" s="207"/>
      <c r="F27" s="207"/>
      <c r="G27" s="207"/>
      <c r="H27" s="207"/>
      <c r="I27" s="207"/>
      <c r="J27" s="34"/>
    </row>
    <row r="28" spans="1:13" x14ac:dyDescent="0.25">
      <c r="A28" s="253">
        <v>3</v>
      </c>
      <c r="B28" s="408">
        <f>A28/G28</f>
        <v>0.6</v>
      </c>
      <c r="C28" s="407">
        <v>0</v>
      </c>
      <c r="D28" s="408">
        <v>0</v>
      </c>
      <c r="E28" s="407">
        <v>2</v>
      </c>
      <c r="F28" s="408">
        <f>E28/G28</f>
        <v>0.4</v>
      </c>
      <c r="G28" s="407">
        <v>5</v>
      </c>
      <c r="H28" s="408">
        <f>B28+D28+F28</f>
        <v>1</v>
      </c>
      <c r="I28" s="362">
        <v>7870028</v>
      </c>
      <c r="J28" s="408">
        <f>I28/I44</f>
        <v>1.2133379225608497E-2</v>
      </c>
    </row>
    <row r="29" spans="1:13" x14ac:dyDescent="0.25">
      <c r="A29" s="252" t="s">
        <v>13</v>
      </c>
      <c r="B29" s="410"/>
      <c r="C29" s="409"/>
      <c r="D29" s="410"/>
      <c r="E29" s="409"/>
      <c r="F29" s="410"/>
      <c r="G29" s="409"/>
      <c r="H29" s="409"/>
      <c r="I29" s="411"/>
      <c r="J29" s="412"/>
    </row>
    <row r="30" spans="1:13" x14ac:dyDescent="0.25">
      <c r="A30" s="253">
        <v>19</v>
      </c>
      <c r="B30" s="408">
        <f>A30/G30</f>
        <v>0.41304347826086957</v>
      </c>
      <c r="C30" s="407">
        <v>0</v>
      </c>
      <c r="D30" s="408">
        <f>C30/G30</f>
        <v>0</v>
      </c>
      <c r="E30" s="407">
        <v>27</v>
      </c>
      <c r="F30" s="408">
        <f>E30/G30</f>
        <v>0.58695652173913049</v>
      </c>
      <c r="G30" s="407">
        <f>A30+E30</f>
        <v>46</v>
      </c>
      <c r="H30" s="408">
        <f>B30+D30+F30</f>
        <v>1</v>
      </c>
      <c r="I30" s="362">
        <v>289295438</v>
      </c>
      <c r="J30" s="408">
        <f>I30/I44</f>
        <v>0.44601255008146234</v>
      </c>
    </row>
    <row r="31" spans="1:13" x14ac:dyDescent="0.25">
      <c r="A31" s="252" t="s">
        <v>14</v>
      </c>
      <c r="B31" s="410"/>
      <c r="C31" s="409"/>
      <c r="D31" s="410"/>
      <c r="E31" s="409"/>
      <c r="F31" s="410"/>
      <c r="G31" s="409"/>
      <c r="H31" s="409"/>
      <c r="I31" s="411"/>
      <c r="J31" s="412"/>
    </row>
    <row r="32" spans="1:13" x14ac:dyDescent="0.25">
      <c r="A32" s="253">
        <v>2</v>
      </c>
      <c r="B32" s="408">
        <f>A32/G32</f>
        <v>0.4</v>
      </c>
      <c r="C32" s="407">
        <v>0</v>
      </c>
      <c r="D32" s="408">
        <f>C32/G32</f>
        <v>0</v>
      </c>
      <c r="E32" s="407">
        <v>3</v>
      </c>
      <c r="F32" s="408">
        <f>E32/G32</f>
        <v>0.6</v>
      </c>
      <c r="G32" s="407">
        <f>A32+E32</f>
        <v>5</v>
      </c>
      <c r="H32" s="408">
        <f>B32+D32+F32</f>
        <v>1</v>
      </c>
      <c r="I32" s="362">
        <v>4457918</v>
      </c>
      <c r="J32" s="408">
        <f>I32/I44</f>
        <v>6.8728611449242845E-3</v>
      </c>
    </row>
    <row r="33" spans="1:10" x14ac:dyDescent="0.25">
      <c r="A33" s="252" t="s">
        <v>15</v>
      </c>
      <c r="B33" s="410"/>
      <c r="C33" s="409"/>
      <c r="D33" s="410"/>
      <c r="E33" s="409"/>
      <c r="F33" s="410"/>
      <c r="G33" s="409"/>
      <c r="H33" s="409"/>
      <c r="I33" s="411"/>
      <c r="J33" s="412"/>
    </row>
    <row r="34" spans="1:10" x14ac:dyDescent="0.25">
      <c r="A34" s="253">
        <v>10</v>
      </c>
      <c r="B34" s="408">
        <f>A34/G34</f>
        <v>0.625</v>
      </c>
      <c r="C34" s="407">
        <v>0</v>
      </c>
      <c r="D34" s="408">
        <f>C34/G34</f>
        <v>0</v>
      </c>
      <c r="E34" s="407">
        <v>6</v>
      </c>
      <c r="F34" s="408">
        <f>E34/G34</f>
        <v>0.375</v>
      </c>
      <c r="G34" s="407">
        <f>A34+E34</f>
        <v>16</v>
      </c>
      <c r="H34" s="408">
        <f>B34+D34+F34</f>
        <v>1</v>
      </c>
      <c r="I34" s="362">
        <v>35441604</v>
      </c>
      <c r="J34" s="408">
        <f>I34/I44</f>
        <v>5.4641028176245748E-2</v>
      </c>
    </row>
    <row r="35" spans="1:10" x14ac:dyDescent="0.25">
      <c r="A35" s="252" t="s">
        <v>16</v>
      </c>
      <c r="B35" s="410"/>
      <c r="C35" s="409"/>
      <c r="D35" s="410"/>
      <c r="E35" s="409"/>
      <c r="F35" s="410"/>
      <c r="G35" s="409"/>
      <c r="H35" s="409"/>
      <c r="I35" s="411"/>
      <c r="J35" s="412"/>
    </row>
    <row r="36" spans="1:10" x14ac:dyDescent="0.25">
      <c r="A36" s="253">
        <v>11</v>
      </c>
      <c r="B36" s="408">
        <f>A36/G36</f>
        <v>0.61111111111111116</v>
      </c>
      <c r="C36" s="407">
        <v>0</v>
      </c>
      <c r="D36" s="408">
        <f>C36/G36</f>
        <v>0</v>
      </c>
      <c r="E36" s="407">
        <v>7</v>
      </c>
      <c r="F36" s="408">
        <f>E36/G36</f>
        <v>0.3888888888888889</v>
      </c>
      <c r="G36" s="407">
        <f>A36+E36</f>
        <v>18</v>
      </c>
      <c r="H36" s="408">
        <f>B36+D36+F36</f>
        <v>1</v>
      </c>
      <c r="I36" s="362">
        <v>283043980</v>
      </c>
      <c r="J36" s="408">
        <f>I36/I44</f>
        <v>0.43637455252580382</v>
      </c>
    </row>
    <row r="37" spans="1:10" x14ac:dyDescent="0.25">
      <c r="A37" s="252" t="s">
        <v>17</v>
      </c>
      <c r="B37" s="410"/>
      <c r="C37" s="409"/>
      <c r="D37" s="410"/>
      <c r="E37" s="409"/>
      <c r="F37" s="410"/>
      <c r="G37" s="409"/>
      <c r="H37" s="409"/>
      <c r="I37" s="411"/>
      <c r="J37" s="412"/>
    </row>
    <row r="38" spans="1:10" x14ac:dyDescent="0.25">
      <c r="A38" s="253">
        <v>1</v>
      </c>
      <c r="B38" s="408">
        <f>A38/G38</f>
        <v>0.5</v>
      </c>
      <c r="C38" s="407">
        <v>0</v>
      </c>
      <c r="D38" s="408">
        <f>C38/G38</f>
        <v>0</v>
      </c>
      <c r="E38" s="407">
        <v>1</v>
      </c>
      <c r="F38" s="408">
        <f>E38/G38</f>
        <v>0.5</v>
      </c>
      <c r="G38" s="407">
        <f>A38+E38</f>
        <v>2</v>
      </c>
      <c r="H38" s="408">
        <f>B38+D38+F38</f>
        <v>1</v>
      </c>
      <c r="I38" s="362">
        <v>10000000</v>
      </c>
      <c r="J38" s="408">
        <f>I38/I44</f>
        <v>1.5417199564739156E-2</v>
      </c>
    </row>
    <row r="39" spans="1:10" x14ac:dyDescent="0.25">
      <c r="A39" s="252" t="s">
        <v>18</v>
      </c>
      <c r="B39" s="410"/>
      <c r="C39" s="409"/>
      <c r="D39" s="410"/>
      <c r="E39" s="409"/>
      <c r="F39" s="410"/>
      <c r="G39" s="409"/>
      <c r="H39" s="409"/>
      <c r="I39" s="411"/>
      <c r="J39" s="412"/>
    </row>
    <row r="40" spans="1:10" x14ac:dyDescent="0.25">
      <c r="A40" s="253">
        <v>3</v>
      </c>
      <c r="B40" s="408">
        <f>A40/G40</f>
        <v>1</v>
      </c>
      <c r="C40" s="407">
        <v>0</v>
      </c>
      <c r="D40" s="408">
        <f>C40/G40</f>
        <v>0</v>
      </c>
      <c r="E40" s="407">
        <v>0</v>
      </c>
      <c r="F40" s="408">
        <f>E40/G40</f>
        <v>0</v>
      </c>
      <c r="G40" s="407">
        <f>A40</f>
        <v>3</v>
      </c>
      <c r="H40" s="408">
        <f>B40+D40+F40</f>
        <v>1</v>
      </c>
      <c r="I40" s="362">
        <v>11777007</v>
      </c>
      <c r="J40" s="408">
        <f>I40/I44</f>
        <v>1.8156846719432997E-2</v>
      </c>
    </row>
    <row r="41" spans="1:10" x14ac:dyDescent="0.25">
      <c r="A41" s="252" t="s">
        <v>19</v>
      </c>
      <c r="B41" s="410"/>
      <c r="C41" s="409"/>
      <c r="D41" s="410"/>
      <c r="E41" s="409"/>
      <c r="F41" s="410"/>
      <c r="G41" s="409"/>
      <c r="H41" s="409"/>
      <c r="I41" s="411"/>
      <c r="J41" s="412"/>
    </row>
    <row r="42" spans="1:10" x14ac:dyDescent="0.25">
      <c r="A42" s="253">
        <v>2</v>
      </c>
      <c r="B42" s="408">
        <f>A42/G42</f>
        <v>0.66666666666666663</v>
      </c>
      <c r="C42" s="407">
        <v>0</v>
      </c>
      <c r="D42" s="408">
        <v>0</v>
      </c>
      <c r="E42" s="407">
        <v>1</v>
      </c>
      <c r="F42" s="408">
        <f>E42/G42</f>
        <v>0.33333333333333331</v>
      </c>
      <c r="G42" s="407">
        <f>A42+E42</f>
        <v>3</v>
      </c>
      <c r="H42" s="408">
        <f>B42+D42+F42</f>
        <v>1</v>
      </c>
      <c r="I42" s="362">
        <v>6740253</v>
      </c>
      <c r="J42" s="408">
        <f>I42/I44</f>
        <v>1.0391582561783179E-2</v>
      </c>
    </row>
    <row r="43" spans="1:10" x14ac:dyDescent="0.25">
      <c r="A43" s="252" t="s">
        <v>20</v>
      </c>
      <c r="B43" s="410"/>
      <c r="C43" s="409"/>
      <c r="D43" s="410"/>
      <c r="E43" s="409"/>
      <c r="F43" s="410"/>
      <c r="G43" s="409"/>
      <c r="H43" s="409"/>
      <c r="I43" s="409"/>
      <c r="J43" s="412"/>
    </row>
    <row r="44" spans="1:10" x14ac:dyDescent="0.25">
      <c r="A44" s="183">
        <f>A28+A30+A32+A34+A36+A38+A40+A42</f>
        <v>51</v>
      </c>
      <c r="B44" s="185">
        <f>A44/G44</f>
        <v>0.52040816326530615</v>
      </c>
      <c r="C44" s="183">
        <f>C28+C30+C32+C34+C36+C38+C40+C42</f>
        <v>0</v>
      </c>
      <c r="D44" s="185">
        <f>C44/G44</f>
        <v>0</v>
      </c>
      <c r="E44" s="183">
        <f>E28+E30+E32+E34+E36+E38+E40+E42</f>
        <v>47</v>
      </c>
      <c r="F44" s="185">
        <f>E44/G44</f>
        <v>0.47959183673469385</v>
      </c>
      <c r="G44" s="183">
        <f>G28+G30+G32+G34+G36+G38+G40+G42</f>
        <v>98</v>
      </c>
      <c r="H44" s="185">
        <f>B44+D44+F44</f>
        <v>1</v>
      </c>
      <c r="I44" s="184">
        <f>I28+I30+I32+I34+I36+I38+I40+I42</f>
        <v>648626228</v>
      </c>
      <c r="J44" s="185">
        <f>SUM(J28:J42)</f>
        <v>1</v>
      </c>
    </row>
  </sheetData>
  <mergeCells count="20">
    <mergeCell ref="A14:J14"/>
    <mergeCell ref="C25:D25"/>
    <mergeCell ref="E25:F25"/>
    <mergeCell ref="G25:H25"/>
    <mergeCell ref="I25:J25"/>
    <mergeCell ref="A25:B25"/>
    <mergeCell ref="A16:J16"/>
    <mergeCell ref="A18:J18"/>
    <mergeCell ref="A15:J15"/>
    <mergeCell ref="A17:J17"/>
    <mergeCell ref="A10:B10"/>
    <mergeCell ref="A6:B6"/>
    <mergeCell ref="A5:B5"/>
    <mergeCell ref="A3:B4"/>
    <mergeCell ref="A12:M12"/>
    <mergeCell ref="I3:J3"/>
    <mergeCell ref="G3:H3"/>
    <mergeCell ref="E3:F3"/>
    <mergeCell ref="C3:D3"/>
    <mergeCell ref="A7:A9"/>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topLeftCell="A10" workbookViewId="0">
      <selection activeCell="S16" sqref="S16"/>
    </sheetView>
  </sheetViews>
  <sheetFormatPr defaultRowHeight="15" x14ac:dyDescent="0.25"/>
  <cols>
    <col min="2" max="2" width="10.140625" customWidth="1"/>
    <col min="3" max="3" width="10.85546875" customWidth="1"/>
    <col min="5" max="5" width="11.28515625" customWidth="1"/>
  </cols>
  <sheetData>
    <row r="1" spans="1:7" x14ac:dyDescent="0.25">
      <c r="A1" s="16" t="s">
        <v>539</v>
      </c>
    </row>
    <row r="3" spans="1:7" ht="45" x14ac:dyDescent="0.25">
      <c r="A3" s="300" t="s">
        <v>38</v>
      </c>
      <c r="B3" s="301" t="s">
        <v>382</v>
      </c>
      <c r="C3" s="301" t="s">
        <v>41</v>
      </c>
      <c r="D3" s="301" t="s">
        <v>10</v>
      </c>
      <c r="E3" s="301" t="s">
        <v>224</v>
      </c>
      <c r="F3" s="302" t="s">
        <v>10</v>
      </c>
      <c r="G3" s="303" t="s">
        <v>20</v>
      </c>
    </row>
    <row r="4" spans="1:7" x14ac:dyDescent="0.25">
      <c r="A4" s="2">
        <v>2012</v>
      </c>
      <c r="B4" s="2">
        <v>101</v>
      </c>
      <c r="C4" s="2">
        <v>109</v>
      </c>
      <c r="D4" s="8">
        <f>C4/G4</f>
        <v>0.73648648648648651</v>
      </c>
      <c r="E4" s="2">
        <v>39</v>
      </c>
      <c r="F4" s="120">
        <f>E4/G4</f>
        <v>0.26351351351351349</v>
      </c>
      <c r="G4" s="24">
        <v>148</v>
      </c>
    </row>
    <row r="5" spans="1:7" x14ac:dyDescent="0.25">
      <c r="A5" s="2">
        <v>2013</v>
      </c>
      <c r="B5" s="2">
        <v>111</v>
      </c>
      <c r="C5" s="2">
        <v>137</v>
      </c>
      <c r="D5" s="8">
        <f>C5/G5</f>
        <v>0.36052631578947369</v>
      </c>
      <c r="E5" s="2">
        <v>243</v>
      </c>
      <c r="F5" s="120">
        <f>E5/G5</f>
        <v>0.63947368421052631</v>
      </c>
      <c r="G5" s="24">
        <v>380</v>
      </c>
    </row>
    <row r="6" spans="1:7" x14ac:dyDescent="0.25">
      <c r="A6" s="2">
        <v>2014</v>
      </c>
      <c r="B6" s="2">
        <v>119</v>
      </c>
      <c r="C6" s="2">
        <v>119</v>
      </c>
      <c r="D6" s="8">
        <f>C6/G6</f>
        <v>0.78289473684210531</v>
      </c>
      <c r="E6" s="2">
        <v>33</v>
      </c>
      <c r="F6" s="120">
        <f>E6/G6</f>
        <v>0.21710526315789475</v>
      </c>
      <c r="G6" s="24">
        <f>C6+E6</f>
        <v>152</v>
      </c>
    </row>
    <row r="7" spans="1:7" x14ac:dyDescent="0.25">
      <c r="A7" s="2">
        <v>2015</v>
      </c>
      <c r="B7" s="2">
        <v>93</v>
      </c>
      <c r="C7" s="2">
        <v>129</v>
      </c>
      <c r="D7" s="8">
        <f>C7/G7</f>
        <v>0.47252747252747251</v>
      </c>
      <c r="E7" s="2">
        <v>144</v>
      </c>
      <c r="F7" s="120">
        <f>E7/G7</f>
        <v>0.52747252747252749</v>
      </c>
      <c r="G7" s="24">
        <f>C7+E7</f>
        <v>273</v>
      </c>
    </row>
    <row r="8" spans="1:7" x14ac:dyDescent="0.25">
      <c r="A8" s="135">
        <v>2016</v>
      </c>
      <c r="B8" s="135">
        <v>98</v>
      </c>
      <c r="C8" s="135">
        <v>104</v>
      </c>
      <c r="D8" s="8">
        <f>C8/G8</f>
        <v>0.71232876712328763</v>
      </c>
      <c r="E8" s="135">
        <v>42</v>
      </c>
      <c r="F8" s="8">
        <f>E8/G8</f>
        <v>0.28767123287671231</v>
      </c>
      <c r="G8" s="2">
        <f>C8+E8</f>
        <v>146</v>
      </c>
    </row>
    <row r="10" spans="1:7" x14ac:dyDescent="0.25">
      <c r="A10" s="16" t="s">
        <v>441</v>
      </c>
    </row>
    <row r="12" spans="1:7" ht="45" x14ac:dyDescent="0.25">
      <c r="A12" s="300"/>
      <c r="B12" s="301" t="s">
        <v>41</v>
      </c>
      <c r="C12" s="301" t="s">
        <v>224</v>
      </c>
    </row>
    <row r="13" spans="1:7" x14ac:dyDescent="0.25">
      <c r="A13" s="2" t="s">
        <v>25</v>
      </c>
      <c r="B13" s="8">
        <v>0.73599999999999999</v>
      </c>
      <c r="C13" s="8">
        <v>0.26400000000000001</v>
      </c>
    </row>
    <row r="14" spans="1:7" x14ac:dyDescent="0.25">
      <c r="A14" s="2" t="s">
        <v>26</v>
      </c>
      <c r="B14" s="8">
        <v>0.36099999999999999</v>
      </c>
      <c r="C14" s="8">
        <v>0.63900000000000001</v>
      </c>
    </row>
    <row r="15" spans="1:7" x14ac:dyDescent="0.25">
      <c r="A15" s="2" t="s">
        <v>27</v>
      </c>
      <c r="B15" s="8">
        <v>0.78300000000000003</v>
      </c>
      <c r="C15" s="8">
        <v>0.217</v>
      </c>
    </row>
    <row r="16" spans="1:7" x14ac:dyDescent="0.25">
      <c r="A16" s="2" t="s">
        <v>28</v>
      </c>
      <c r="B16" s="8">
        <v>0.47299999999999998</v>
      </c>
      <c r="C16" s="8">
        <v>0.52700000000000002</v>
      </c>
    </row>
    <row r="17" spans="1:4" x14ac:dyDescent="0.25">
      <c r="A17" s="135" t="s">
        <v>496</v>
      </c>
      <c r="B17" s="339">
        <v>0.71199999999999997</v>
      </c>
      <c r="C17" s="339">
        <v>0.28799999999999998</v>
      </c>
    </row>
    <row r="30" spans="1:4" x14ac:dyDescent="0.25">
      <c r="A30" s="16" t="s">
        <v>442</v>
      </c>
    </row>
    <row r="32" spans="1:4" ht="135" x14ac:dyDescent="0.25">
      <c r="A32" s="74"/>
      <c r="B32" s="301" t="s">
        <v>40</v>
      </c>
      <c r="C32" s="301" t="s">
        <v>383</v>
      </c>
      <c r="D32" s="311" t="s">
        <v>384</v>
      </c>
    </row>
    <row r="33" spans="1:5" x14ac:dyDescent="0.25">
      <c r="A33" s="2" t="s">
        <v>26</v>
      </c>
      <c r="B33" s="8">
        <f>(B5-B4)/B4</f>
        <v>9.9009900990099015E-2</v>
      </c>
      <c r="C33" s="8">
        <f>(G5-G4)/G4</f>
        <v>1.5675675675675675</v>
      </c>
      <c r="D33" s="20">
        <f>G5/B5</f>
        <v>3.4234234234234235</v>
      </c>
    </row>
    <row r="34" spans="1:5" x14ac:dyDescent="0.25">
      <c r="A34" s="2" t="s">
        <v>27</v>
      </c>
      <c r="B34" s="8">
        <f>(B6-B5)/B5</f>
        <v>7.2072072072072071E-2</v>
      </c>
      <c r="C34" s="8">
        <f>(G6-G5)/G5</f>
        <v>-0.6</v>
      </c>
      <c r="D34" s="20">
        <f>G6/B6</f>
        <v>1.2773109243697478</v>
      </c>
    </row>
    <row r="35" spans="1:5" x14ac:dyDescent="0.25">
      <c r="A35" s="2" t="s">
        <v>28</v>
      </c>
      <c r="B35" s="8">
        <f>(B7-B6)/B6</f>
        <v>-0.21848739495798319</v>
      </c>
      <c r="C35" s="8">
        <f>(G7-G6)/G6</f>
        <v>0.79605263157894735</v>
      </c>
      <c r="D35" s="20">
        <f>G7/B7</f>
        <v>2.935483870967742</v>
      </c>
      <c r="E35" s="188"/>
    </row>
    <row r="36" spans="1:5" x14ac:dyDescent="0.25">
      <c r="A36" s="135" t="s">
        <v>496</v>
      </c>
      <c r="B36" s="8">
        <f>(B8-B7)/B7</f>
        <v>5.3763440860215055E-2</v>
      </c>
      <c r="C36" s="8">
        <f>(G8-G7)/G7</f>
        <v>-0.46520146520146521</v>
      </c>
      <c r="D36" s="206">
        <f>G8/B8</f>
        <v>1.489795918367347</v>
      </c>
    </row>
  </sheetData>
  <conditionalFormatting sqref="B4:B8">
    <cfRule type="iconSet" priority="4">
      <iconSet iconSet="3Arrows">
        <cfvo type="percent" val="0"/>
        <cfvo type="percent" val="33"/>
        <cfvo type="percent" val="67"/>
      </iconSet>
    </cfRule>
  </conditionalFormatting>
  <conditionalFormatting sqref="C4:C8">
    <cfRule type="iconSet" priority="3">
      <iconSet iconSet="3Arrows">
        <cfvo type="percent" val="0"/>
        <cfvo type="percent" val="33"/>
        <cfvo type="percent" val="67"/>
      </iconSet>
    </cfRule>
  </conditionalFormatting>
  <conditionalFormatting sqref="E4:E8">
    <cfRule type="iconSet" priority="2">
      <iconSet iconSet="3Arrows">
        <cfvo type="percent" val="0"/>
        <cfvo type="percent" val="33"/>
        <cfvo type="percent" val="67"/>
      </iconSet>
    </cfRule>
  </conditionalFormatting>
  <conditionalFormatting sqref="G4:G8">
    <cfRule type="iconSet" priority="1">
      <iconSet iconSet="3Arrows">
        <cfvo type="percent" val="0"/>
        <cfvo type="percent" val="33"/>
        <cfvo type="percent" val="67"/>
      </iconSet>
    </cfRule>
  </conditionalFormatting>
  <conditionalFormatting sqref="D4:D8">
    <cfRule type="top10" dxfId="15" priority="5" percent="1" rank="10"/>
  </conditionalFormatting>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21</vt:i4>
      </vt:variant>
    </vt:vector>
  </HeadingPairs>
  <TitlesOfParts>
    <vt:vector size="21" baseType="lpstr">
      <vt:lpstr>SPSIL_2016_gads</vt:lpstr>
      <vt:lpstr>Satura_rādītājs_metodoloģija</vt:lpstr>
      <vt:lpstr>I_Kopā_2016</vt:lpstr>
      <vt:lpstr>II_Dinamika_sps_skaits_kopā_sum</vt:lpstr>
      <vt:lpstr>II_Kopējā_dinamika</vt:lpstr>
      <vt:lpstr>III_Virs_ES_Tab_2012_2016</vt:lpstr>
      <vt:lpstr>III_Virs_ES_iep_veidi_Tab_Din</vt:lpstr>
      <vt:lpstr>III_Virs_ES_procedūras_Tab</vt:lpstr>
      <vt:lpstr>III_Virs_ES_līgumu_vis.vien_Din</vt:lpstr>
      <vt:lpstr>III_Virs_ES_CPV_kodu_sadalījums</vt:lpstr>
      <vt:lpstr>III_Virs_ES_ārvalstnieki_Tab</vt:lpstr>
      <vt:lpstr>III_Virs_ES_ārvalstnieki_Din</vt:lpstr>
      <vt:lpstr>IV_Zem_Tab</vt:lpstr>
      <vt:lpstr>IV_Zem_Din</vt:lpstr>
      <vt:lpstr>V_Izņēmumi_Tab</vt:lpstr>
      <vt:lpstr>V_Izņēmumi_Din</vt:lpstr>
      <vt:lpstr>Duālo_pasūtītāju_saraksts</vt:lpstr>
      <vt:lpstr>Virs_ES_saraksts</vt:lpstr>
      <vt:lpstr>Secinājumi</vt: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2017-10-27T08:33:21Z</cp:lastPrinted>
  <dcterms:created xsi:type="dcterms:W3CDTF">2016-08-18T05:57:41Z</dcterms:created>
  <dcterms:modified xsi:type="dcterms:W3CDTF">2019-07-30T10:28:24Z</dcterms:modified>
</cp:coreProperties>
</file>