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https://iubgovlv.sharepoint.com/sites/inf_dep/Koplietojamie dokumenti/General/ID/Statistika/Renate/Darba/2022.gads/Pārskati/ADJIL/"/>
    </mc:Choice>
  </mc:AlternateContent>
  <xr:revisionPtr revIDLastSave="1274" documentId="13_ncr:1_{9874B94C-F4C8-456D-9B4D-30E0A75D7AEE}" xr6:coauthVersionLast="47" xr6:coauthVersionMax="47" xr10:uidLastSave="{800DDCD0-0A55-43CC-8F1F-2BA18D6CED1E}"/>
  <bookViews>
    <workbookView xWindow="-28920" yWindow="-120" windowWidth="29040" windowHeight="17640" firstSheet="9" activeTab="14" xr2:uid="{00000000-000D-0000-FFFF-FFFF00000000}"/>
  </bookViews>
  <sheets>
    <sheet name="ADJIL_2021_gads" sheetId="15" r:id="rId1"/>
    <sheet name="Satura_rādītājs_metodoloģija" sheetId="16" r:id="rId2"/>
    <sheet name="I. Pavisam_2021_kopā_tab" sheetId="1" r:id="rId3"/>
    <sheet name="II. Diagramma_pa_gadiem" sheetId="7" r:id="rId4"/>
    <sheet name="III. Decentralizetie_kopa_tab" sheetId="3" r:id="rId5"/>
    <sheet name="IV. Virs_zem_%_pa_gadiem" sheetId="10" r:id="rId6"/>
    <sheet name="V. Centralizētie_kopā_tab" sheetId="2" r:id="rId7"/>
    <sheet name="VI. Dec_centr_%_pret_kopā" sheetId="11" r:id="rId8"/>
    <sheet name="VII. Valstiskā_piederība_tab" sheetId="4" r:id="rId9"/>
    <sheet name="VIII. Dinamika_valstu_dalījumā" sheetId="12" r:id="rId10"/>
    <sheet name="IX. Procedūras_tab" sheetId="5" r:id="rId11"/>
    <sheet name="X.Procedūru_dinamika" sheetId="18" r:id="rId12"/>
    <sheet name="XI. CPV_kodi_tab" sheetId="6" r:id="rId13"/>
    <sheet name="XII. CPV_kodi_%_dinamika" sheetId="13" r:id="rId14"/>
    <sheet name="Secinājumi" sheetId="17"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6" i="10" l="1"/>
  <c r="G68" i="5"/>
  <c r="H116" i="18"/>
  <c r="H118" i="18" s="1"/>
  <c r="G116" i="18"/>
  <c r="G118" i="18" s="1"/>
  <c r="F117" i="18"/>
  <c r="E117" i="18"/>
  <c r="F116" i="18"/>
  <c r="E116" i="18"/>
  <c r="D69" i="6"/>
  <c r="C69" i="6"/>
  <c r="F118" i="18" l="1"/>
  <c r="L118" i="18" s="1"/>
  <c r="E118" i="18"/>
  <c r="K118" i="18" s="1"/>
  <c r="G33" i="18" l="1"/>
  <c r="K33" i="18" s="1"/>
  <c r="F33" i="18"/>
  <c r="J33" i="18" s="1"/>
  <c r="H114" i="18"/>
  <c r="G114" i="18"/>
  <c r="F114" i="18"/>
  <c r="L114" i="18" s="1"/>
  <c r="E114" i="18"/>
  <c r="F110" i="18"/>
  <c r="L110" i="18" s="1"/>
  <c r="E110" i="18"/>
  <c r="K110" i="18" s="1"/>
  <c r="H106" i="18"/>
  <c r="G106" i="18"/>
  <c r="F106" i="18"/>
  <c r="E106" i="18"/>
  <c r="D106" i="18"/>
  <c r="C106" i="18"/>
  <c r="H102" i="18"/>
  <c r="G102" i="18"/>
  <c r="F102" i="18"/>
  <c r="E102" i="18"/>
  <c r="D102" i="18"/>
  <c r="C102" i="18"/>
  <c r="J99" i="18"/>
  <c r="I99" i="18"/>
  <c r="H99" i="18"/>
  <c r="G99" i="18"/>
  <c r="F99" i="18"/>
  <c r="E99" i="18"/>
  <c r="J96" i="18"/>
  <c r="I96" i="18"/>
  <c r="H96" i="18"/>
  <c r="G96" i="18"/>
  <c r="F96" i="18"/>
  <c r="E96" i="18"/>
  <c r="F93" i="18"/>
  <c r="L93" i="18" s="1"/>
  <c r="E93" i="18"/>
  <c r="K93" i="18" s="1"/>
  <c r="F90" i="18"/>
  <c r="E90" i="18"/>
  <c r="G32" i="18"/>
  <c r="K32" i="18" s="1"/>
  <c r="F32" i="18"/>
  <c r="J32" i="18" s="1"/>
  <c r="G31" i="18"/>
  <c r="K31" i="18" s="1"/>
  <c r="F31" i="18"/>
  <c r="J31" i="18" s="1"/>
  <c r="G30" i="18"/>
  <c r="K30" i="18" s="1"/>
  <c r="F30" i="18"/>
  <c r="J30" i="18" s="1"/>
  <c r="G29" i="18"/>
  <c r="F29" i="18"/>
  <c r="G28" i="18"/>
  <c r="F28" i="18"/>
  <c r="G27" i="18"/>
  <c r="F27" i="18"/>
  <c r="G26" i="18"/>
  <c r="F26" i="18"/>
  <c r="G25" i="18"/>
  <c r="F25" i="18"/>
  <c r="G24" i="18"/>
  <c r="F24" i="18"/>
  <c r="L99" i="18" l="1"/>
  <c r="I73" i="18" s="1"/>
  <c r="K106" i="18"/>
  <c r="K114" i="18"/>
  <c r="K102" i="18"/>
  <c r="D74" i="18" s="1"/>
  <c r="L106" i="18"/>
  <c r="L102" i="18"/>
  <c r="E74" i="18" s="1"/>
  <c r="K99" i="18"/>
  <c r="H73" i="18" s="1"/>
  <c r="F74" i="18"/>
  <c r="G73" i="18"/>
  <c r="D75" i="18"/>
  <c r="F75" i="18"/>
  <c r="B75" i="18"/>
  <c r="K90" i="18"/>
  <c r="D70" i="18" s="1"/>
  <c r="B74" i="18"/>
  <c r="L90" i="18"/>
  <c r="E70" i="18" s="1"/>
  <c r="D71" i="18"/>
  <c r="E71" i="18"/>
  <c r="K96" i="18"/>
  <c r="F72" i="18" s="1"/>
  <c r="L96" i="18"/>
  <c r="E72" i="18" s="1"/>
  <c r="E73" i="18" l="1"/>
  <c r="D73" i="18"/>
  <c r="C74" i="18"/>
  <c r="E75" i="18"/>
  <c r="G72" i="18"/>
  <c r="F73" i="18"/>
  <c r="C75" i="18"/>
  <c r="G74" i="18"/>
  <c r="G75" i="18"/>
  <c r="I72" i="18"/>
  <c r="H72" i="18"/>
  <c r="D72" i="18"/>
  <c r="H68" i="5" l="1"/>
  <c r="F69" i="5"/>
  <c r="E69" i="5"/>
  <c r="F68" i="5"/>
  <c r="E68" i="5"/>
  <c r="B64" i="12"/>
  <c r="W50" i="12"/>
  <c r="AL39" i="4"/>
  <c r="AK39" i="4"/>
  <c r="AD39" i="4"/>
  <c r="AC39" i="4"/>
  <c r="X39" i="4"/>
  <c r="W39" i="4"/>
  <c r="V39" i="4"/>
  <c r="U39" i="4"/>
  <c r="R39" i="4"/>
  <c r="Q39" i="4"/>
  <c r="P39" i="4"/>
  <c r="O39" i="4"/>
  <c r="F39" i="4"/>
  <c r="E39" i="4"/>
  <c r="D39" i="4"/>
  <c r="C39" i="4"/>
  <c r="C38" i="4"/>
  <c r="J38" i="4"/>
  <c r="AS38" i="4"/>
  <c r="C37" i="4"/>
  <c r="V37" i="4"/>
  <c r="AT38" i="4"/>
  <c r="AT37" i="4"/>
  <c r="AS37" i="4"/>
  <c r="AT36" i="4"/>
  <c r="AS36" i="4"/>
  <c r="I38" i="4"/>
  <c r="D38" i="4"/>
  <c r="U37" i="4"/>
  <c r="D37" i="4"/>
  <c r="F38" i="4"/>
  <c r="AL38" i="4"/>
  <c r="AK38" i="4"/>
  <c r="D67" i="11"/>
  <c r="C52" i="11"/>
  <c r="B52" i="11"/>
  <c r="I47" i="10"/>
  <c r="H47" i="10"/>
  <c r="G47" i="10"/>
  <c r="G61" i="10" s="1"/>
  <c r="D47" i="10"/>
  <c r="C61" i="10" s="1"/>
  <c r="B61" i="10" l="1"/>
  <c r="F61" i="10"/>
  <c r="B76" i="10" s="1"/>
  <c r="D52" i="11"/>
  <c r="I37" i="11"/>
  <c r="E67" i="11" s="1"/>
  <c r="H37" i="11"/>
  <c r="G37" i="11"/>
  <c r="D37" i="11"/>
  <c r="G14" i="2"/>
  <c r="D14" i="2"/>
  <c r="G14" i="3"/>
  <c r="D14" i="3"/>
  <c r="G14" i="1"/>
  <c r="D14" i="1"/>
  <c r="D39" i="5"/>
  <c r="C39" i="5"/>
  <c r="J39" i="4"/>
  <c r="I39" i="4"/>
  <c r="F52" i="11" l="1"/>
  <c r="C67" i="11" s="1"/>
  <c r="E52" i="11"/>
  <c r="AT39" i="4"/>
  <c r="AS39" i="4"/>
  <c r="F35" i="6"/>
  <c r="F69" i="6" s="1"/>
  <c r="E35" i="6"/>
  <c r="E69" i="6" s="1"/>
  <c r="W49" i="12"/>
  <c r="D63" i="12" s="1"/>
  <c r="C35" i="4"/>
  <c r="AT34" i="4"/>
  <c r="AS34" i="4"/>
  <c r="AT33" i="4"/>
  <c r="AS33" i="4"/>
  <c r="AF35" i="4"/>
  <c r="AE35" i="4"/>
  <c r="L35" i="4"/>
  <c r="K35" i="4"/>
  <c r="J35" i="4"/>
  <c r="I35" i="4"/>
  <c r="B67" i="11" l="1"/>
  <c r="G52" i="11"/>
  <c r="B63" i="12"/>
  <c r="C63" i="12"/>
  <c r="F36" i="11"/>
  <c r="I36" i="11" s="1"/>
  <c r="E66" i="11" s="1"/>
  <c r="E36" i="11"/>
  <c r="G36" i="11" s="1"/>
  <c r="C36" i="11"/>
  <c r="B36" i="11"/>
  <c r="H36" i="11" s="1"/>
  <c r="D66" i="11" s="1"/>
  <c r="F46" i="10"/>
  <c r="E46" i="10"/>
  <c r="C46" i="10"/>
  <c r="B46" i="10"/>
  <c r="G13" i="2"/>
  <c r="D13" i="2"/>
  <c r="G13" i="3"/>
  <c r="D13" i="3"/>
  <c r="G13" i="1"/>
  <c r="D13" i="1"/>
  <c r="F51" i="11" l="1"/>
  <c r="D36" i="11"/>
  <c r="C51" i="11" s="1"/>
  <c r="B51" i="11"/>
  <c r="E51" i="11"/>
  <c r="B66" i="11" s="1"/>
  <c r="G46" i="10"/>
  <c r="G60" i="10" s="1"/>
  <c r="D46" i="10"/>
  <c r="B60" i="10" s="1"/>
  <c r="D35" i="5"/>
  <c r="C35" i="5"/>
  <c r="D35" i="4"/>
  <c r="AT32" i="4"/>
  <c r="AS32" i="4"/>
  <c r="H69" i="6"/>
  <c r="G69" i="6"/>
  <c r="AT30" i="4"/>
  <c r="AT29" i="4"/>
  <c r="AT28" i="4"/>
  <c r="D31" i="4"/>
  <c r="AP31" i="4"/>
  <c r="AD31" i="4"/>
  <c r="T31" i="4"/>
  <c r="F63" i="5"/>
  <c r="E63" i="5"/>
  <c r="D31" i="5"/>
  <c r="C31" i="5"/>
  <c r="W48" i="12"/>
  <c r="D62" i="12" s="1"/>
  <c r="W47" i="12"/>
  <c r="W46" i="12"/>
  <c r="W45" i="12"/>
  <c r="W44" i="12"/>
  <c r="W43" i="12"/>
  <c r="W42" i="12"/>
  <c r="W41" i="12"/>
  <c r="AS30" i="4"/>
  <c r="AS29" i="4"/>
  <c r="AS28" i="4"/>
  <c r="AO31" i="4"/>
  <c r="AC31" i="4"/>
  <c r="S31" i="4"/>
  <c r="C31" i="4"/>
  <c r="C50" i="11"/>
  <c r="B50" i="11"/>
  <c r="I35" i="11"/>
  <c r="E65" i="11" s="1"/>
  <c r="H35" i="11"/>
  <c r="D65" i="11" s="1"/>
  <c r="G35" i="11"/>
  <c r="F50" i="11" s="1"/>
  <c r="C65" i="11" s="1"/>
  <c r="G59" i="10"/>
  <c r="C74" i="10" s="1"/>
  <c r="F59" i="10"/>
  <c r="B74" i="10" s="1"/>
  <c r="C59" i="10"/>
  <c r="B59" i="10"/>
  <c r="I45" i="10"/>
  <c r="H45" i="10"/>
  <c r="D51" i="11" l="1"/>
  <c r="G51" i="11"/>
  <c r="C66" i="11"/>
  <c r="C75" i="10"/>
  <c r="F60" i="10"/>
  <c r="B75" i="10" s="1"/>
  <c r="C60" i="10"/>
  <c r="AS35" i="4"/>
  <c r="AT35" i="4"/>
  <c r="D50" i="11"/>
  <c r="AS31" i="4"/>
  <c r="B62" i="12"/>
  <c r="C62" i="12"/>
  <c r="E50" i="11"/>
  <c r="B65" i="11" s="1"/>
  <c r="G50" i="11"/>
  <c r="AT31" i="4"/>
  <c r="G12" i="2"/>
  <c r="D12" i="2"/>
  <c r="G12" i="3"/>
  <c r="D12" i="3"/>
  <c r="G12" i="1"/>
  <c r="D12" i="1"/>
  <c r="AT26" i="4" l="1"/>
  <c r="AS26" i="4"/>
  <c r="AS25" i="4"/>
  <c r="AT25" i="4"/>
  <c r="J69" i="6" l="1"/>
  <c r="I69" i="6"/>
  <c r="D27" i="5" l="1"/>
  <c r="C27" i="5"/>
  <c r="D61" i="12"/>
  <c r="AT24" i="4"/>
  <c r="AS24" i="4"/>
  <c r="AS27" i="4" s="1"/>
  <c r="AR27" i="4"/>
  <c r="AQ27" i="4"/>
  <c r="AL27" i="4"/>
  <c r="AK27" i="4"/>
  <c r="AJ27" i="4"/>
  <c r="AI27" i="4"/>
  <c r="AF27" i="4"/>
  <c r="AE27" i="4"/>
  <c r="AD27" i="4"/>
  <c r="AC27" i="4"/>
  <c r="R27" i="4"/>
  <c r="Q27" i="4"/>
  <c r="P27" i="4"/>
  <c r="O27" i="4"/>
  <c r="J27" i="4"/>
  <c r="I27" i="4"/>
  <c r="H27" i="4"/>
  <c r="G27" i="4"/>
  <c r="D27" i="4"/>
  <c r="C27" i="4"/>
  <c r="B61" i="12" l="1"/>
  <c r="C61" i="12"/>
  <c r="AT27" i="4"/>
  <c r="F44" i="10"/>
  <c r="E44" i="10"/>
  <c r="C44" i="10"/>
  <c r="B44" i="10"/>
  <c r="G11" i="2"/>
  <c r="E34" i="11" s="1"/>
  <c r="D11" i="2"/>
  <c r="B34" i="11" s="1"/>
  <c r="G11" i="3"/>
  <c r="F34" i="11" s="1"/>
  <c r="D11" i="3"/>
  <c r="C34" i="11" s="1"/>
  <c r="E35" i="7"/>
  <c r="D35" i="7"/>
  <c r="C35" i="7"/>
  <c r="B35" i="7"/>
  <c r="D11" i="1"/>
  <c r="G11" i="1"/>
  <c r="I34" i="11" l="1"/>
  <c r="E64" i="11" s="1"/>
  <c r="H44" i="10"/>
  <c r="I44" i="10"/>
  <c r="G34" i="11"/>
  <c r="F49" i="11" s="1"/>
  <c r="C64" i="11" s="1"/>
  <c r="D34" i="11"/>
  <c r="C49" i="11" s="1"/>
  <c r="H34" i="11"/>
  <c r="D64" i="11" s="1"/>
  <c r="G44" i="10"/>
  <c r="G58" i="10" s="1"/>
  <c r="C73" i="10" s="1"/>
  <c r="D44" i="10"/>
  <c r="C58" i="10" s="1"/>
  <c r="AH27" i="4"/>
  <c r="AG27" i="4"/>
  <c r="N27" i="4"/>
  <c r="F27" i="4"/>
  <c r="E27" i="4"/>
  <c r="E49" i="11" l="1"/>
  <c r="B49" i="11"/>
  <c r="F58" i="10"/>
  <c r="B58" i="10"/>
  <c r="L17" i="6"/>
  <c r="L69" i="6" s="1"/>
  <c r="K17" i="6"/>
  <c r="K69" i="6" s="1"/>
  <c r="F56" i="5"/>
  <c r="E56" i="5"/>
  <c r="H56" i="5"/>
  <c r="G56" i="5"/>
  <c r="G49" i="11" l="1"/>
  <c r="B64" i="11"/>
  <c r="D49" i="11"/>
  <c r="B73" i="10"/>
  <c r="C60" i="12"/>
  <c r="AH23" i="4"/>
  <c r="AG23" i="4"/>
  <c r="AD23" i="4"/>
  <c r="AC23" i="4"/>
  <c r="Z23" i="4"/>
  <c r="Y23" i="4"/>
  <c r="T23" i="4"/>
  <c r="S23" i="4"/>
  <c r="N23" i="4"/>
  <c r="M23" i="4"/>
  <c r="AT22" i="4"/>
  <c r="V21" i="4"/>
  <c r="U21" i="4"/>
  <c r="P21" i="4"/>
  <c r="O21" i="4"/>
  <c r="D21" i="4"/>
  <c r="C21" i="4"/>
  <c r="AF21" i="4"/>
  <c r="AF23" i="4" s="1"/>
  <c r="AE21" i="4"/>
  <c r="AE23" i="4" s="1"/>
  <c r="J21" i="4"/>
  <c r="I21" i="4"/>
  <c r="G33" i="11"/>
  <c r="F48" i="11" s="1"/>
  <c r="C63" i="11" s="1"/>
  <c r="I33" i="11"/>
  <c r="H33" i="11"/>
  <c r="D33" i="11"/>
  <c r="B48" i="11" s="1"/>
  <c r="G57" i="10"/>
  <c r="F57" i="10"/>
  <c r="C57" i="10"/>
  <c r="B57" i="10"/>
  <c r="I43" i="10"/>
  <c r="H42" i="10"/>
  <c r="H41" i="10"/>
  <c r="I42" i="10"/>
  <c r="H43" i="10"/>
  <c r="F10" i="3"/>
  <c r="G10" i="3" s="1"/>
  <c r="C10" i="3"/>
  <c r="D10" i="3" s="1"/>
  <c r="F10" i="2"/>
  <c r="C10" i="2"/>
  <c r="E10" i="2"/>
  <c r="B10" i="2"/>
  <c r="D10" i="2" s="1"/>
  <c r="G10" i="2" l="1"/>
  <c r="C48" i="11"/>
  <c r="D48" i="11" s="1"/>
  <c r="AT21" i="4"/>
  <c r="AS21" i="4"/>
  <c r="E48" i="11"/>
  <c r="D60" i="12"/>
  <c r="B60" i="12"/>
  <c r="F10" i="1"/>
  <c r="E34" i="7" s="1"/>
  <c r="C10" i="1"/>
  <c r="C34" i="7" s="1"/>
  <c r="E10" i="1"/>
  <c r="D34" i="7" s="1"/>
  <c r="B10" i="1"/>
  <c r="B34" i="7" s="1"/>
  <c r="G48" i="11" l="1"/>
  <c r="B63" i="11"/>
  <c r="G10" i="1"/>
  <c r="D10" i="1"/>
  <c r="D23" i="5"/>
  <c r="C23" i="5"/>
  <c r="V23" i="4"/>
  <c r="U23" i="4"/>
  <c r="P23" i="4"/>
  <c r="O23" i="4"/>
  <c r="J23" i="4"/>
  <c r="I23" i="4"/>
  <c r="F23" i="4"/>
  <c r="E23" i="4"/>
  <c r="D23" i="4"/>
  <c r="C23" i="4"/>
  <c r="AS22" i="4"/>
  <c r="AS23" i="4" l="1"/>
  <c r="AT23" i="4"/>
  <c r="N69" i="6"/>
  <c r="M69" i="6"/>
  <c r="D20" i="5"/>
  <c r="C20" i="5"/>
  <c r="B59" i="12" l="1"/>
  <c r="AR20" i="4"/>
  <c r="AQ20" i="4"/>
  <c r="AB20" i="4"/>
  <c r="AA20" i="4"/>
  <c r="V20" i="4"/>
  <c r="U20" i="4"/>
  <c r="P20" i="4"/>
  <c r="O20" i="4"/>
  <c r="J20" i="4"/>
  <c r="I20" i="4"/>
  <c r="F20" i="4"/>
  <c r="E20" i="4"/>
  <c r="D20" i="4"/>
  <c r="C20" i="4"/>
  <c r="AT19" i="4"/>
  <c r="AS19" i="4"/>
  <c r="AT18" i="4"/>
  <c r="AS18" i="4"/>
  <c r="I32" i="11"/>
  <c r="G32" i="11"/>
  <c r="F47" i="11" s="1"/>
  <c r="C62" i="11" s="1"/>
  <c r="H32" i="11"/>
  <c r="D32" i="11"/>
  <c r="B47" i="11" s="1"/>
  <c r="G42" i="10"/>
  <c r="F56" i="10" s="1"/>
  <c r="D42" i="10"/>
  <c r="G9" i="2"/>
  <c r="D9" i="2"/>
  <c r="G9" i="3"/>
  <c r="D9" i="3"/>
  <c r="G9" i="1"/>
  <c r="D9" i="1"/>
  <c r="AS20" i="4" l="1"/>
  <c r="C47" i="11"/>
  <c r="D47" i="11" s="1"/>
  <c r="AT20" i="4"/>
  <c r="B56" i="10"/>
  <c r="C56" i="10"/>
  <c r="G56" i="10"/>
  <c r="E47" i="11"/>
  <c r="C59" i="12"/>
  <c r="D59" i="12"/>
  <c r="G47" i="11" l="1"/>
  <c r="B62" i="11"/>
  <c r="D17" i="5" l="1"/>
  <c r="C17" i="5"/>
  <c r="D14" i="5"/>
  <c r="C14" i="5"/>
  <c r="D11" i="5"/>
  <c r="C11" i="5"/>
  <c r="D8" i="5"/>
  <c r="U69" i="6" l="1"/>
  <c r="S69" i="6"/>
  <c r="Q69" i="6"/>
  <c r="O69" i="6"/>
  <c r="V69" i="6"/>
  <c r="T69" i="6"/>
  <c r="R69" i="6"/>
  <c r="P69" i="6"/>
  <c r="D56" i="12" l="1"/>
  <c r="D57" i="12"/>
  <c r="B58" i="12"/>
  <c r="C55" i="12"/>
  <c r="I31" i="11"/>
  <c r="I30" i="11"/>
  <c r="I29" i="11"/>
  <c r="H31" i="11"/>
  <c r="H30" i="11"/>
  <c r="H29" i="11"/>
  <c r="H28" i="11"/>
  <c r="G29" i="11"/>
  <c r="F44" i="11" s="1"/>
  <c r="C59" i="11" s="1"/>
  <c r="G30" i="11"/>
  <c r="F45" i="11" s="1"/>
  <c r="C60" i="11" s="1"/>
  <c r="G31" i="11"/>
  <c r="F46" i="11" s="1"/>
  <c r="C61" i="11" s="1"/>
  <c r="G28" i="11"/>
  <c r="E43" i="11" s="1"/>
  <c r="D29" i="11"/>
  <c r="C44" i="11" s="1"/>
  <c r="D30" i="11"/>
  <c r="B45" i="11" s="1"/>
  <c r="D31" i="11"/>
  <c r="C46" i="11" s="1"/>
  <c r="D28" i="11"/>
  <c r="B43" i="11" s="1"/>
  <c r="E46" i="11" l="1"/>
  <c r="B44" i="11"/>
  <c r="D44" i="11" s="1"/>
  <c r="D55" i="12"/>
  <c r="C58" i="12"/>
  <c r="D58" i="12"/>
  <c r="B57" i="12"/>
  <c r="B56" i="12"/>
  <c r="C57" i="12"/>
  <c r="B55" i="12"/>
  <c r="C56" i="12"/>
  <c r="C43" i="11"/>
  <c r="D43" i="11" s="1"/>
  <c r="C58" i="11" s="1"/>
  <c r="F43" i="11"/>
  <c r="G43" i="11" s="1"/>
  <c r="E44" i="11"/>
  <c r="C45" i="11"/>
  <c r="B46" i="11"/>
  <c r="E45" i="11"/>
  <c r="I40" i="10"/>
  <c r="I41" i="10"/>
  <c r="I39" i="10"/>
  <c r="I38" i="10"/>
  <c r="H40" i="10"/>
  <c r="H39" i="10"/>
  <c r="H38" i="10"/>
  <c r="G41" i="10"/>
  <c r="F55" i="10" s="1"/>
  <c r="D41" i="10"/>
  <c r="B55" i="10" s="1"/>
  <c r="G40" i="10"/>
  <c r="F54" i="10" s="1"/>
  <c r="D40" i="10"/>
  <c r="B54" i="10" s="1"/>
  <c r="G39" i="10"/>
  <c r="F53" i="10" s="1"/>
  <c r="D39" i="10"/>
  <c r="B53" i="10" s="1"/>
  <c r="G38" i="10"/>
  <c r="F52" i="10" s="1"/>
  <c r="D38" i="10"/>
  <c r="B52" i="10" s="1"/>
  <c r="G45" i="11" l="1"/>
  <c r="B60" i="11"/>
  <c r="G44" i="11"/>
  <c r="B59" i="11"/>
  <c r="G46" i="11"/>
  <c r="B61" i="11"/>
  <c r="C54" i="10"/>
  <c r="C53" i="10"/>
  <c r="C52" i="10"/>
  <c r="C55" i="10"/>
  <c r="G55" i="10"/>
  <c r="G52" i="10"/>
  <c r="G54" i="10"/>
  <c r="G53" i="10"/>
  <c r="D45" i="11"/>
  <c r="B58" i="11"/>
  <c r="D46" i="11"/>
  <c r="AT16" i="4"/>
  <c r="AS16" i="4"/>
  <c r="AD17" i="4"/>
  <c r="AC17" i="4"/>
  <c r="AR17" i="4"/>
  <c r="AQ17" i="4"/>
  <c r="AN17" i="4"/>
  <c r="AM17" i="4"/>
  <c r="AT15" i="4" l="1"/>
  <c r="AT17" i="4" s="1"/>
  <c r="AS15" i="4"/>
  <c r="AS17" i="4" s="1"/>
  <c r="AF17" i="4"/>
  <c r="AE17" i="4"/>
  <c r="L17" i="4"/>
  <c r="K17" i="4"/>
  <c r="J17" i="4"/>
  <c r="I17" i="4"/>
  <c r="F17" i="4"/>
  <c r="E17" i="4"/>
  <c r="AT13" i="4"/>
  <c r="AS13" i="4"/>
  <c r="AT12" i="4"/>
  <c r="AS12" i="4"/>
  <c r="AF14" i="4"/>
  <c r="AE14" i="4"/>
  <c r="N14" i="4"/>
  <c r="M14" i="4"/>
  <c r="J14" i="4"/>
  <c r="I14" i="4"/>
  <c r="F14" i="4"/>
  <c r="E14" i="4"/>
  <c r="AT10" i="4"/>
  <c r="AS10" i="4"/>
  <c r="AT9" i="4"/>
  <c r="AS9" i="4"/>
  <c r="AF11" i="4"/>
  <c r="AE11" i="4"/>
  <c r="J11" i="4"/>
  <c r="I11" i="4"/>
  <c r="AT7" i="4"/>
  <c r="AT8" i="4" s="1"/>
  <c r="AS7" i="4"/>
  <c r="AS8" i="4" s="1"/>
  <c r="F8" i="4"/>
  <c r="E8" i="4"/>
  <c r="AT11" i="4" l="1"/>
  <c r="AT14" i="4"/>
  <c r="AS11" i="4"/>
  <c r="AS14" i="4"/>
  <c r="D17" i="4"/>
  <c r="C17" i="4"/>
  <c r="G5" i="2"/>
  <c r="D5" i="2"/>
  <c r="G5" i="3"/>
  <c r="D5" i="3"/>
  <c r="D5" i="1"/>
  <c r="G6" i="3"/>
  <c r="D6" i="3"/>
  <c r="G6" i="2"/>
  <c r="D6" i="2"/>
  <c r="G7" i="2"/>
  <c r="D7" i="2"/>
  <c r="G7" i="3"/>
  <c r="D7" i="3"/>
  <c r="G8" i="2"/>
  <c r="D8" i="2"/>
  <c r="G8" i="3"/>
  <c r="D8" i="3"/>
  <c r="G5" i="1"/>
  <c r="G6" i="1"/>
  <c r="D6" i="1"/>
  <c r="G7" i="1"/>
  <c r="D7" i="1"/>
  <c r="G8" i="1" l="1"/>
  <c r="D8" i="1"/>
</calcChain>
</file>

<file path=xl/sharedStrings.xml><?xml version="1.0" encoding="utf-8"?>
<sst xmlns="http://schemas.openxmlformats.org/spreadsheetml/2006/main" count="850" uniqueCount="284">
  <si>
    <t>Iepirkumu skaits</t>
  </si>
  <si>
    <t>virs ES līgumcenu sliekšņa</t>
  </si>
  <si>
    <t>zem ES līgumcenu sliekšņa</t>
  </si>
  <si>
    <t>Kopā</t>
  </si>
  <si>
    <t>2012.gads</t>
  </si>
  <si>
    <t>Lietuva</t>
  </si>
  <si>
    <t>2013.gads</t>
  </si>
  <si>
    <t>2014.gads</t>
  </si>
  <si>
    <t>2015.gads</t>
  </si>
  <si>
    <t>32344230-7</t>
  </si>
  <si>
    <t>35622700-7</t>
  </si>
  <si>
    <t>50660000-9</t>
  </si>
  <si>
    <t>50212000-4</t>
  </si>
  <si>
    <t>60000000-8</t>
  </si>
  <si>
    <t>31400000-0</t>
  </si>
  <si>
    <t>35520000-5</t>
  </si>
  <si>
    <t>35331300-3</t>
  </si>
  <si>
    <t>35420000-4</t>
  </si>
  <si>
    <t>44613400-4</t>
  </si>
  <si>
    <t>72230000-6</t>
  </si>
  <si>
    <t xml:space="preserve">CPV kods </t>
  </si>
  <si>
    <t>Līgumcena (EUR bez PVN)</t>
  </si>
  <si>
    <t>72000000-5</t>
  </si>
  <si>
    <t>50000000-5</t>
  </si>
  <si>
    <t>44000000-0</t>
  </si>
  <si>
    <t>35000000-4</t>
  </si>
  <si>
    <t>32000000-3</t>
  </si>
  <si>
    <t>31000000-6</t>
  </si>
  <si>
    <t>Latvija</t>
  </si>
  <si>
    <t>Līgumu skaits</t>
  </si>
  <si>
    <t>Zviedrija</t>
  </si>
  <si>
    <t>Francija</t>
  </si>
  <si>
    <t>ASV</t>
  </si>
  <si>
    <t>piegāde</t>
  </si>
  <si>
    <t>Citas ES dalībvalstis</t>
  </si>
  <si>
    <t>Citas valstis</t>
  </si>
  <si>
    <t>kopā</t>
  </si>
  <si>
    <t>Beļģija</t>
  </si>
  <si>
    <t>Iepirkumu veids</t>
  </si>
  <si>
    <t>Gads</t>
  </si>
  <si>
    <t>Kopējā līgumcenu summa (EUR) bez PVN</t>
  </si>
  <si>
    <t>Piedāvāto līgumcenu summa (EUR) bez PVN</t>
  </si>
  <si>
    <t>Lielbritānija</t>
  </si>
  <si>
    <t>Krievija</t>
  </si>
  <si>
    <t>Norvēģija</t>
  </si>
  <si>
    <t>Iepirkumu skaits virs ES līgumcenu sliekšņa</t>
  </si>
  <si>
    <t>Iepirkumu skaits zem ES līgumcenu sliekšņa</t>
  </si>
  <si>
    <t>Kopējā līgumcenu summa virs ES līgumcenu sliekšņa (EUR) bez PVN</t>
  </si>
  <si>
    <t>Kopējā līgumcenu summa zem ES līgumcenu sliekšņa (EUR) bez PVN</t>
  </si>
  <si>
    <t>Vidējā līgumcena (EUR) bez PVN</t>
  </si>
  <si>
    <t>Centralizētie</t>
  </si>
  <si>
    <t>Decentralizētie</t>
  </si>
  <si>
    <t xml:space="preserve">Vidējā līgumcena </t>
  </si>
  <si>
    <t>ES dalībvalstis</t>
  </si>
  <si>
    <t>Kopējā līgum-cenu summa (EUR) bez PVN</t>
  </si>
  <si>
    <t>Iepirkumu procedūras</t>
  </si>
  <si>
    <t>Slēgts konkurss</t>
  </si>
  <si>
    <t>Sarunu procedūra</t>
  </si>
  <si>
    <t xml:space="preserve">Konkursa dialogs </t>
  </si>
  <si>
    <t>35710000-4</t>
  </si>
  <si>
    <t>35321300-3</t>
  </si>
  <si>
    <t>35410000-1</t>
  </si>
  <si>
    <t>Būvdarbi</t>
  </si>
  <si>
    <t>Piegāde</t>
  </si>
  <si>
    <t>Pakalpojumi</t>
  </si>
  <si>
    <t>Skaits</t>
  </si>
  <si>
    <t>Sarunu procedūra, nepublicējot paziņojumu par līgumu</t>
  </si>
  <si>
    <t>skaits</t>
  </si>
  <si>
    <t>6.p.(6) 5)                                 vai (Dir.§1 e))</t>
  </si>
  <si>
    <t>6.p.(6) 8)                                vai (Dir. §3 a))</t>
  </si>
  <si>
    <t>6.p.(6) 11)                               vai (Dir.§4 a))</t>
  </si>
  <si>
    <t xml:space="preserve">6.p.(6) 5) </t>
  </si>
  <si>
    <t>6.p.(6) 8)</t>
  </si>
  <si>
    <t>Aizsardzības un drošības jomas iepirkumu likuma norādītais pants</t>
  </si>
  <si>
    <t>Pavisam kopā</t>
  </si>
  <si>
    <t xml:space="preserve">6.p.(6) 5)   </t>
  </si>
  <si>
    <t xml:space="preserve">6.p.(6) 11)     </t>
  </si>
  <si>
    <t>Noslēgto līgumu līgumcenu summa (EUR) bez PVN</t>
  </si>
  <si>
    <t xml:space="preserve">Līgumcena (EUR bez PVN)  </t>
  </si>
  <si>
    <t>Aizsardzības un drošības jomas virs ES līgumcenu sliekšņa valsts sektora piemēroto sarunu procedūru, nepublicējot paziņojumu par līgumu, skaits un līgumcena pa gadiem</t>
  </si>
  <si>
    <t>Sarunu procedūras, kopā</t>
  </si>
  <si>
    <t xml:space="preserve">t.sk. sarunu procedūras, nepublicējot paziņojumu par līgumu </t>
  </si>
  <si>
    <t>Sarunu procedūras, nepublicējot paziņojumu par līgumu</t>
  </si>
  <si>
    <t>2016.gads</t>
  </si>
  <si>
    <t>Vācija</t>
  </si>
  <si>
    <t>Austrija</t>
  </si>
  <si>
    <t>Somija</t>
  </si>
  <si>
    <t>pakalpojumi</t>
  </si>
  <si>
    <t>35341000-6</t>
  </si>
  <si>
    <t>35340000-9</t>
  </si>
  <si>
    <t>48900000-7</t>
  </si>
  <si>
    <t>38633000-1</t>
  </si>
  <si>
    <t>32352000-5</t>
  </si>
  <si>
    <t>50333000-8</t>
  </si>
  <si>
    <t>35310000-0</t>
  </si>
  <si>
    <t>48000000-8</t>
  </si>
  <si>
    <t>38000000-5</t>
  </si>
  <si>
    <t>2017.gads</t>
  </si>
  <si>
    <t>2017,gads</t>
  </si>
  <si>
    <t>Polija</t>
  </si>
  <si>
    <t>Dānija</t>
  </si>
  <si>
    <t>Izraēla</t>
  </si>
  <si>
    <t>6.p.(6) 4)                                 vai (Dir.§1 d))</t>
  </si>
  <si>
    <t>6.p.(6) 11)                               vai (Dir.§4a))</t>
  </si>
  <si>
    <t xml:space="preserve">6.p.(6) 4)   </t>
  </si>
  <si>
    <t>42000000-6</t>
  </si>
  <si>
    <t>35812200-1</t>
  </si>
  <si>
    <t>34300000-0</t>
  </si>
  <si>
    <t>34000000-7</t>
  </si>
  <si>
    <t>35331200-5</t>
  </si>
  <si>
    <t>34152000-7</t>
  </si>
  <si>
    <t>35300000-7</t>
  </si>
  <si>
    <t>35721000-4</t>
  </si>
  <si>
    <t>35321100-1</t>
  </si>
  <si>
    <t>38632000-4</t>
  </si>
  <si>
    <t>35320000-3</t>
  </si>
  <si>
    <t>35740000-3</t>
  </si>
  <si>
    <t>64200000-8</t>
  </si>
  <si>
    <t>64000000-6</t>
  </si>
  <si>
    <t>2018.gads</t>
  </si>
  <si>
    <t>būvdarbi</t>
  </si>
  <si>
    <t>Igaunija</t>
  </si>
  <si>
    <t>Čehija</t>
  </si>
  <si>
    <t>Brazīlija</t>
  </si>
  <si>
    <t>Šveice</t>
  </si>
  <si>
    <t>45000000-7</t>
  </si>
  <si>
    <t>34144700-5</t>
  </si>
  <si>
    <t>35113000-9</t>
  </si>
  <si>
    <t>35330000-6</t>
  </si>
  <si>
    <t>35331400-7</t>
  </si>
  <si>
    <t>35331500-8</t>
  </si>
  <si>
    <t>60170000-0</t>
  </si>
  <si>
    <t>63121000-3</t>
  </si>
  <si>
    <t>63000000-9</t>
  </si>
  <si>
    <t>2019.gads</t>
  </si>
  <si>
    <t>Satura rādītājs</t>
  </si>
  <si>
    <t>I.</t>
  </si>
  <si>
    <t>II.</t>
  </si>
  <si>
    <t>III.</t>
  </si>
  <si>
    <t>IV.</t>
  </si>
  <si>
    <t>Secinājumi</t>
  </si>
  <si>
    <t>Pārskatu apkopojuma metodoloģija</t>
  </si>
  <si>
    <t>Pārskata mērķis un uzdevumi</t>
  </si>
  <si>
    <t>Pārskata sagatavošanas laiks un pieprasījuma mērķis</t>
  </si>
  <si>
    <t>Pārskata datu avots</t>
  </si>
  <si>
    <t>Termini</t>
  </si>
  <si>
    <t>Datu analīzes metode un datu atklātības princips</t>
  </si>
  <si>
    <t>Pārskatā lietotie saīsinājumi:</t>
  </si>
  <si>
    <t>IUB - Iepirkumu uzraudzības birojs;</t>
  </si>
  <si>
    <t>PVS - Publikāciju vadības sistēma;</t>
  </si>
  <si>
    <t>1.</t>
  </si>
  <si>
    <t>2.</t>
  </si>
  <si>
    <t>3.</t>
  </si>
  <si>
    <t>4.</t>
  </si>
  <si>
    <t>5.</t>
  </si>
  <si>
    <t>6.</t>
  </si>
  <si>
    <t>7.</t>
  </si>
  <si>
    <t>8.</t>
  </si>
  <si>
    <t>Diagramma pa gadiem</t>
  </si>
  <si>
    <t>Kopsavilkums par valsts sektora iepirkumiem</t>
  </si>
  <si>
    <t>Kopsavilkums par decentralizētiem iepirkumiem</t>
  </si>
  <si>
    <t>V.</t>
  </si>
  <si>
    <t>VI.</t>
  </si>
  <si>
    <t>VII.</t>
  </si>
  <si>
    <t>VIII.</t>
  </si>
  <si>
    <t>IX.</t>
  </si>
  <si>
    <t>X.</t>
  </si>
  <si>
    <t>XI.</t>
  </si>
  <si>
    <t>XII.</t>
  </si>
  <si>
    <t>XIII.</t>
  </si>
  <si>
    <t>Kopējo līgumcenu un iepirkumu skaita procentuālais sadalījums pa gadiem</t>
  </si>
  <si>
    <t>Kopsavilkums par centralizētiem iepirkumiem</t>
  </si>
  <si>
    <t>Valstiskā piederība virs ES līgumcenu sliekšņu iepirkumiem</t>
  </si>
  <si>
    <t>Decentralizēti un centralizēti veikto iepirkumu procentuālais sadalījums</t>
  </si>
  <si>
    <t>Kanāda</t>
  </si>
  <si>
    <t>Piemēroto iepirkumu procedūru sadalījums virs ES līgumcenu sliekšņu iepirkumiem</t>
  </si>
  <si>
    <t>Valstiskās piederības virs ES līgumcenu sliekšņu dinamika pa gadiem</t>
  </si>
  <si>
    <t>Piemēroto virs ES līgumcenu sliekšņu procedūru dinamika pa gadiem</t>
  </si>
  <si>
    <t>35120000-1</t>
  </si>
  <si>
    <t>35700000-1</t>
  </si>
  <si>
    <t>48515000-8</t>
  </si>
  <si>
    <t>35321200-2</t>
  </si>
  <si>
    <t>51311000-5</t>
  </si>
  <si>
    <t>50110000-9</t>
  </si>
  <si>
    <t>50650000-6</t>
  </si>
  <si>
    <t>Termini pārskatu apkopojumā lietoti un formulēti atbilstoši Aizsardzības un drošības jomas iepirkumu likumam.</t>
  </si>
  <si>
    <t>ADJIL - Aizsardzības un drošības jomas iepirkumu likums;</t>
  </si>
  <si>
    <t>9.</t>
  </si>
  <si>
    <t>10.</t>
  </si>
  <si>
    <t>11.</t>
  </si>
  <si>
    <t>Sarunu procedūru, nepublicējot paziņojumu par līgumu, skaita un līgumcenas procentuālais sadalījums pēc piemērotā likuma panta, pa gadiem</t>
  </si>
  <si>
    <t>milj. - miljoni;</t>
  </si>
  <si>
    <r>
      <t xml:space="preserve">EUR - </t>
    </r>
    <r>
      <rPr>
        <i/>
        <sz val="11"/>
        <color theme="1"/>
        <rFont val="Calibri"/>
        <family val="2"/>
        <charset val="186"/>
        <scheme val="minor"/>
      </rPr>
      <t>euro</t>
    </r>
    <r>
      <rPr>
        <sz val="11"/>
        <color theme="1"/>
        <rFont val="Calibri"/>
        <family val="2"/>
        <charset val="186"/>
        <scheme val="minor"/>
      </rPr>
      <t>;</t>
    </r>
  </si>
  <si>
    <t>Kopējās līgumcenas procentuālais sadalījums pēc iepirkuma sliekšņa un vidējās līgumcenas rādītāji pa gadiem</t>
  </si>
  <si>
    <t>Kopējās līgumcenu summas procentuālais īpatsvars pēc līgumcenu sliekšņa</t>
  </si>
  <si>
    <t>Kopējās līgumcenas un iepirkumu skaits pēc iepirkuma sliekšņa un vidējās līgumcenas rādītāji pa gadiem</t>
  </si>
  <si>
    <t>Decentralizēti un centralizēti veikto iepirkumu skaits, kopējā līgumcena un to vidējās līgumcenas rādītāji pa gadiem</t>
  </si>
  <si>
    <t>Decentralizēti un centralizēti veikto iepirkumu un to kopējo līgumcenu procentuālais sadalījums pa gadiem</t>
  </si>
  <si>
    <t>Skaita dinamika pēc valstiskās piederības pa gadiem</t>
  </si>
  <si>
    <t>Valstiskās piederības sadalījums (%) pa gadiem</t>
  </si>
  <si>
    <t>Sarunu procedūru, nepublicējot paziņojumu par līgumu, skaita un līgumcenu  sadalījums pēc piemērotā likuma panta, pa gadiem</t>
  </si>
  <si>
    <t xml:space="preserve">Aizsardzības un drošības jomas iepirkumi Latvijā kopā, pa gadiem </t>
  </si>
  <si>
    <t>Aizsardzības un drošības jomas galvenie rādītāji pa gadiem</t>
  </si>
  <si>
    <t>Aizsardzības un drošības jomas decentralizētie iepirkumi Latvijā, pa gadiem</t>
  </si>
  <si>
    <t xml:space="preserve">Aizsardzības un drošības jomas centralizētie iepirkumi Latvijā, pa gadiem </t>
  </si>
  <si>
    <t>Aizsardzības un drošības jomas virs ES līgumcenu sliekšņa iepirkumu valstiskā piederība, pa gadiem</t>
  </si>
  <si>
    <t>Aizsardzības un drošības jomas virs ES līgumcenu sliekšņa piemērotās iepirkumu procedūras pa gadiem</t>
  </si>
  <si>
    <t>Noslēgto līgumcenu sadalījums (%) pēc CPV klasifikatora</t>
  </si>
  <si>
    <t>2020.gads</t>
  </si>
  <si>
    <t>Vidējā līgumcena (milj. EUR) bez PVN</t>
  </si>
  <si>
    <t>63120000-6</t>
  </si>
  <si>
    <t>44212250-6</t>
  </si>
  <si>
    <t>35720000-7</t>
  </si>
  <si>
    <t>38636000-2</t>
  </si>
  <si>
    <t>35322400-1</t>
  </si>
  <si>
    <t>50842000-9</t>
  </si>
  <si>
    <t xml:space="preserve">STATISTIKAS PĀRSKATU APKOPOJUMS PAR 2021. GADĀ AIZSARDZĪBAS UN DROŠĪBAS JOMĀ VEIKTAJIEM IEPIRKUMIEM </t>
  </si>
  <si>
    <t>Statistikas pārskatu apkopojums par 2021. gadā aizsardzības un drošības jomā veiktajiem iepirkumiem</t>
  </si>
  <si>
    <t>Statistikas pārskatu pieprasījuma mērķis ir iegūt kvalitatīvus datus par valstī notiekošajiem aizsardzības un drošības jomas iepirkumiem un atbilstoši sistematizēt oficiālās statistikas par iepirkumiem Latvijā analīzes procesu.                                                                                                                                                                                                 Publikāciju vadības sistēmā iesniegto gada pārskatu datu pārbaude - no 2022. gada 1. marta līdz 2022. gada septembrim.                                                                                                   Datu labošana un precizēšana, statistikas pārskatu apkopojuma sagatavošana - no 2022. gada maija līdz 2022. gada oktobrim.</t>
  </si>
  <si>
    <t>2021.gads</t>
  </si>
  <si>
    <t>Iepirkumu skaita sadalījums pa iepirkuma veidiem pēc valstiskās piederības 2021. gadā</t>
  </si>
  <si>
    <t>Virs ES sliekšņa - paredzamā līgumcena preču un pakalpojumu iepirkumiem, sākot no 428 000 EUR, un būvdarbiem sākot no 5 350 000 EUR;</t>
  </si>
  <si>
    <t>Zem ES sliekšņa - paredzamā līgumcena preču un pakalpojumu iepirkumiem, sākot no 42 000 līdz 427 999 EUR, un būvdarbiem sākot no 170 000 līdz 5 349 999 EUR.</t>
  </si>
  <si>
    <t>Rīga, 2022</t>
  </si>
  <si>
    <r>
      <t>Statistikas datu avots - pasūtītāju iesniegtie pārskati par 2021. gadā veiktajiem iepirkumiem un to noslēgtajām līgumu summām:</t>
    </r>
    <r>
      <rPr>
        <sz val="11"/>
        <rFont val="Calibri"/>
        <family val="2"/>
        <scheme val="minor"/>
      </rPr>
      <t xml:space="preserve"> 23</t>
    </r>
    <r>
      <rPr>
        <sz val="11"/>
        <color theme="1"/>
        <rFont val="Calibri"/>
        <family val="2"/>
        <charset val="186"/>
        <scheme val="minor"/>
      </rPr>
      <t xml:space="preserve"> pārskati Nr. 3-ADJIL - Pārskats par aizsardzības un drošības jomas iepirkumiem.</t>
    </r>
  </si>
  <si>
    <r>
      <t>Galvenie statistikas pārskata rādītāji - iepirkumu skaits, noslēgtie līgumi un to līgumu summa virs un zem ES līgumcenu sliekšņa.                                                                                                                                         Pārskata dati par aizsardzības un drošības jomas iepirkumiem ir publiski pieejama informācija. Pārskatu apkopojums nesatur konfidenciālu vai ierobežotas pieejamības informāciju.                                                                                                                               Iepirkumu skaita un līgumu summu izmaiņu analīzei 2021. gada pārskatā izmantota informācija/dati arī no:                                                                                                                          - iepriekšējo gadu Iepirkumu uzraudzības biroja statistikas pārs</t>
    </r>
    <r>
      <rPr>
        <sz val="11"/>
        <rFont val="Calibri"/>
        <family val="2"/>
        <charset val="186"/>
        <scheme val="minor"/>
      </rPr>
      <t>katu apkopojumiem</t>
    </r>
    <r>
      <rPr>
        <sz val="11"/>
        <color theme="1"/>
        <rFont val="Calibri"/>
        <family val="2"/>
        <charset val="186"/>
        <scheme val="minor"/>
      </rPr>
      <t xml:space="preserve"> un Publikāciju vadības sistēmas.</t>
    </r>
  </si>
  <si>
    <t>Nīderlande</t>
  </si>
  <si>
    <t>ja pasūtītājam nepieciešamas papildu piegādes no sākotnējā preču piegādātāja (ražotāja), lai papildinātu vai daļēji nomainītu tā rīcībā jau esošās preces vai iekārtas, jo, izvēloties citu preču piegādātāju (ražotāju), pasūtītājam vajadzētu iepirkt preces, kuras tehniski atšķirtos no tā rīcībā jau esošajām precēm, un šāda atšķirība radītu ar preču vai iekārtu uzturēšanu un ekspluatāciju saistītas grūtības. Šāda līguma, kā arī atkārtotu līgumu darbības termiņš nedrīkst pārsniegt piecus gadus. Izņēmuma gadījumā minētais termiņš drīkst būt ilgāks, ievērojot piegādājamo preču, iekārtu vai sistēmu paredzamo izmantošanas laiku, kā arī tehniskās grūtības, kas var rasties cita piegādātāja (ražotāja) izvēles gadījumā</t>
  </si>
  <si>
    <t>ja tehnisku vai tādu iemeslu dēļ, kuri saistīti ar izņēmuma tiesību aizsardzību, līgumu var noslēgt tikai ar konkrētu piegādātāju</t>
  </si>
  <si>
    <t>63732000-9</t>
  </si>
  <si>
    <t>71000000-8</t>
  </si>
  <si>
    <t>90910000-9</t>
  </si>
  <si>
    <t>31720000-9</t>
  </si>
  <si>
    <t>35810000-5</t>
  </si>
  <si>
    <t>35730000-0</t>
  </si>
  <si>
    <t>60100000-9</t>
  </si>
  <si>
    <t>71334000-8</t>
  </si>
  <si>
    <t>Celtniecības darbi.</t>
  </si>
  <si>
    <t>Elektromehāniskās iekārtas.</t>
  </si>
  <si>
    <t>Drošības, ugunsdzēsības, policijas un aizsardzības aprīkojums.</t>
  </si>
  <si>
    <t>Ieroči, munīcija un to daļas.</t>
  </si>
  <si>
    <t>Pistoles.</t>
  </si>
  <si>
    <t>Munīcija.</t>
  </si>
  <si>
    <t>Šaujamieroču un munīcijas detaļas.</t>
  </si>
  <si>
    <t>Izlūkošanas informācija, novērošana, mērķa noteikšana un izlūkošana.</t>
  </si>
  <si>
    <t>Elektroniskās kaujasdarbības sistēmas un pretpasākumi.</t>
  </si>
  <si>
    <t>Individuālais aprīkojums.</t>
  </si>
  <si>
    <t>Teleskopiskie tēmēkļi.</t>
  </si>
  <si>
    <t>Militāro elektronisko sistēmu remonta un tehniskās apkopes pakalpojumi.</t>
  </si>
  <si>
    <t>Ieroču sistēmu remonta un tehniskās apkopes pakalpojumi.</t>
  </si>
  <si>
    <t>Transporta pakalpojumi (izņemot atkritumu transportu).</t>
  </si>
  <si>
    <t>Autotransporta pakalpojumi.</t>
  </si>
  <si>
    <t>Uzglabāšanas un noliktavu pakalpojumi.</t>
  </si>
  <si>
    <t>Gaisa satiksmes kontroles pakalpojumi.</t>
  </si>
  <si>
    <t>Arhitektūras, būvniecības, inženiertehniskie un pārbaudes pakalpojumi.</t>
  </si>
  <si>
    <t>Mašīnbūves un elektrotehniskie pakalpojumi.</t>
  </si>
  <si>
    <t>Uzkopšanas pakalpojumi.</t>
  </si>
  <si>
    <t>90000000-7</t>
  </si>
  <si>
    <t>2021. gadā kopējā noslēgtā līgumu summa ir 80,1 milj. EUR, virs un zem ES līgumcenu sliekšņa (summa attiecībā pret 2020. gadu samazinājusies par 23,6 milj. EUR jeb 49,0% mazāk).</t>
  </si>
  <si>
    <r>
      <t>2021. gadā par 72,9,0 milj. EUR noslēgti līgumi par iepirkumiem virs ES līgumcenu sliekšņa (summa attiecībā pret 2020. gadu</t>
    </r>
    <r>
      <rPr>
        <sz val="11"/>
        <color rgb="FFFF0000"/>
        <rFont val="Calibri"/>
        <family val="2"/>
        <charset val="186"/>
        <scheme val="minor"/>
      </rPr>
      <t xml:space="preserve"> </t>
    </r>
    <r>
      <rPr>
        <sz val="11"/>
        <rFont val="Calibri"/>
        <family val="2"/>
        <charset val="186"/>
        <scheme val="minor"/>
      </rPr>
      <t>samazinājusies par 17,1 milj. EUR jeb 19,0% mazāk)</t>
    </r>
    <r>
      <rPr>
        <sz val="11"/>
        <color theme="1"/>
        <rFont val="Calibri"/>
        <family val="2"/>
        <charset val="186"/>
        <scheme val="minor"/>
      </rPr>
      <t>, un par 7</t>
    </r>
    <r>
      <rPr>
        <sz val="11"/>
        <rFont val="Calibri"/>
        <family val="2"/>
        <charset val="186"/>
        <scheme val="minor"/>
      </rPr>
      <t>,1 mi</t>
    </r>
    <r>
      <rPr>
        <sz val="11"/>
        <color theme="1"/>
        <rFont val="Calibri"/>
        <family val="2"/>
        <charset val="186"/>
        <scheme val="minor"/>
      </rPr>
      <t>lj. EUR noslēgti līgumi par iepirkumiem zem ES līgumcenu sliekšņa (summa attiecībā pret 2020. gadu samazinājusies par 6,6 milj. EUR jeb 48,3% mazāk).</t>
    </r>
  </si>
  <si>
    <t>Valsts aizsardzības loģistikas un iepirkumu centrs veicis 16 iepirkumus virs ES līgumcenu sliekšņa.</t>
  </si>
  <si>
    <t>Virs ES līgumcenu sliekšņa 2021. gadā lielāko noslēgto līgumu summu īpatsvaru veido pakalpojumu iepirkumi - 49,8 milj. EUR, kas veido 68,3% īpatsvaru no kopējās noslēgto līgumu summas virs ES līgumcenu sliekšņa, tad seko piegāžu iepirkumi - 16,3 milj. EUR jeb 22,4% īpatsvara no kopējās noslēgto līgumu summas virs ES līgumcenu sliekšņa un būvdarbu iepirkums - 6,8 milj. EUR, kas veido 9,3% īpatsvara no kopējās noslēgto līgumu summas virs ES līgumcenu sliekšņa.</t>
  </si>
  <si>
    <t>Veicot 22 iepirkumus virs ES līgumcenu sliekšņa, piemērotas 22 sarunu procedūras, t.sk. 7, nepublicējot paziņojumu par līgumu (jeb 32,0% no kopējā sarunu procedūru skaita). Salīdzinot ar 2020. gadu, 2021. gadā sarunu procedūru, nepublicējot paziņojumu par līgumu, skaits ir palielinājies par 2 iepirkumiem.</t>
  </si>
  <si>
    <t>2021. gadā virs ES līgumcenu sliekšņa lielāko noslēgto līgumu summu par veiktajiem iepirkumiem CPV pamatkodu grupās veidoja uzglabāšanas un noliktavu pakalpojumi (CPV 63120000-6) - kopsummā par 24,2 milj. EUR. Otru lielāko līgumu summu uzrāda mašīnbūves un elektrotehniskie pakalpojumi (CPV 71334000-8) - kopsummā par 13,3 milj. EUR, un tad seko elektroniskās kaujasdarbības sistēmas un pretpasākumi (CPV 35730000-0) - kopsummā par 7,8 milj. EUR. Savukārt 2020. gadā virs ES līgumcenu sliekšņa lielāko noslēgto līgumu summu par veiktajiem iepirkumiem veidoja militārās elektroniskās sistēmas (35700000-1).</t>
  </si>
  <si>
    <t xml:space="preserve">2021. gadā no 22 iepirkumiem (virs ES līgumcenu sliekšņa) 14 iepirkumos (jeb 64,0% īpatsvara no kopējā iepirkumu skaita) tika noslēgti līgumi ar Latvijas piegādātājiem par 28,9 milj. EUR (39,7% īpatsvars no kopējās virs ES līgumcenu sliekšņa noslēgtās līgumu summas), 6 iepirkumos (27,0% īpatsvars no kopējā līgumu skaita) tika noslēgti līgumi ar citām Eiropas Savienības valstīm par 27,7 milj. EUR (38,0% īpatsvars no kopējās virs ES līgumcenu sliekšņa noslēgtās līgumu summas) un 2 iepirkumos (9,0% īpatsvars no kopējā līgumu skaita) tika noslēgti līgumi ar citām valstīm par 16,3 milj. EUR (jeb 22,3% īpatsvara no kopējās virs ES līgumcenu sliekšņa noslēgtās summas).								</t>
  </si>
  <si>
    <t xml:space="preserve">Iepirkumi pēc CPV klasifikatoriem virs ES līgumcenu sliekšņa pa gadiem </t>
  </si>
  <si>
    <t>Iepirkumu dinamika pēc CPV klasifikatoriem virs ES līgumcenu sliekšņa</t>
  </si>
  <si>
    <t xml:space="preserve">Mērķis - sniegt informāciju par valstī notiekošajiem procesiem aizsardzības un drošības jomā, atklājot valsts sektorā veikto iepirkumu rezultātus 2021. gadā.                                                                                    Uzdevums - apkopot un vizualizēt (tabulās un diagrammās) statistisko informāciju par aizsardzības un drošības jomas veiktajiem iepirkumiem, apkopojuma saturā iekļaujot un analizējot datus par veiktajiem iepirkumiem, gan centralizācijas, gan decentralizācijas kārtībā, to rezultātā noslēgtajiem būvdarbu, piegādes un/vai pakalpojumu līgumiem un to līgumu summām.                                                                                                   </t>
  </si>
  <si>
    <t>Iepirkumu skaita procentuālais īpatsvars pēc līgumcenu sliekšņa</t>
  </si>
  <si>
    <t>Decentralizēti un centralizēti veikto iepirkumu procentuālais sadalījums un to vidējās līgumcenas rādītāji pa gadiem</t>
  </si>
  <si>
    <t xml:space="preserve">6.p.(6) 4) </t>
  </si>
  <si>
    <t>ja pasūtītājam neparedzamu ārkārtas apstākļu (piemēram, dabas katastrofas vai avārijas) rezultātā objektīvi radusies situācija, kurā steidzamības dēļ nav iespējams piemērot slēgtu konkursu vai sarunu procedūru, publicējot paziņojumu par līgumu, arī tad, ja pasūtītājs izmanto visas šajā likumā noteiktās pieteikumu un piedāvājumu iesniegšanas termiņu saīsināšanas iespējas, — ciktāl tas ir nepieciešams, lai novērstu ārkārtas situāciju. Minētie apstākļi, kas pamato ārkārtas situāciju, nedrīkst būt atkarīgi no pasūtītāja rīcības;</t>
  </si>
  <si>
    <t xml:space="preserve">6.p.(6) 11) </t>
  </si>
  <si>
    <t>ja pasūtītājam ir nepieciešami papildu būvdarbi vai pakalpojumi, kuri sākotnēji netika iekļauti līgumā vai būvniecības projektā, bet neparedzamu apstākļu dēļ kļuvuši nepieciešami iepriekš noslēgtā līguma izpildei</t>
  </si>
  <si>
    <t>Sarunu procedūru un sarunu procedūras, nepublicējot paziņojumu, skaita un līgumcenu sadalījums pa gadiem un to īpatsvars (%)</t>
  </si>
  <si>
    <t>Aizsardzības un drošības jomas virs ES līgumcenu sliekšņa iepirkumi pēc CPV klasifikatora, pa gadiem</t>
  </si>
  <si>
    <t>Iepirkumu skaita sadalījums virs ES līgumcenu sliekšņa pēc iepirkumu veida no 2012.-2021. gadam</t>
  </si>
  <si>
    <t>Pavisam kopā 2021. gadā veikti 70 iepirkumi. Virs ES līgumcenu sliekšņa veikti 22 iepirkumi (kas veido 31,4% no kopējā iepirkumu skaita), zem ES līgumcenu sliekšņa veikti 48 iepirkumi (kas veido 68,6% no kopējā iepirkumu skaita). Salīdzinot ar 2020. gadu, 2021. gadā kopējais  noslēgto līgumu skaits samazinājies par 3 iepirkumiem jeb 4,1% mazāk, kur virs ES līgumcenu sliekšņa iepirkumu skaits pret 2020. gadu ir palielinājies par 10 iepirkumu jeb 83,0% vairāk, un zem ES līgumcenu sliekšņa iepirkumu skaits pret 2020. gadu ir samazinājies par 13 iepirkumiem jeb 21,3%.</t>
  </si>
  <si>
    <t>Zem ES līgumcenu sliekšņa 2021. gadā lielāko noslēgto līgumu summu īpatsvaru veido būvdarbu iepirkumi - 3,2 milj. EUR, kas veido 45,2% īpatsvaru no kopējās noslēgto līgumu summas zem ES līgumcenu sliekšņa, tad seko pakalpojumu iepirkumi - 2,8 milj. EUR jeb 39,7%, un piegāžu iepirkumi - 1,1 milj. EUR jeb 15,1% īpatsvara no kopējās noslēgto līgumu summas zem ES līgumcenu sliekšņa.</t>
  </si>
  <si>
    <t>Pārskata gadā pasūtītāji veikuši 53 (jeb 76,0% no kopējā iepirkumu skaita) decentralizētos iepirkumus un 17 centralizētos iepirkumus (jeb 24,0% no kopējā iepirkumu skaita). Salīdzinot ar 2020. gadu, 2021. gadā decentralizēto iepirkumu skaits palielinājies par 2 iepirkumiem, jeb 4,0%, un centralizācijas iepirkumi pret 2020. gadu samazinājušies par 5 iepirkumiem jeb 23,0% mazāk.</t>
  </si>
  <si>
    <t>Sarunu procedūru, nepublicējot paziņojumu par līgumu,  īpatsvars (%)</t>
  </si>
  <si>
    <t>Sarunu procedūru, publicējot paziņojumu par līgumu,  īpatsvars (%)</t>
  </si>
  <si>
    <t>Sarunu procedūras, nepublicējot paziņojumu par līgumu, īpatsvars (%)</t>
  </si>
  <si>
    <r>
      <t>Iepirkumu uzraudzības birojs 2021. gadā ir apkopojis</t>
    </r>
    <r>
      <rPr>
        <sz val="11"/>
        <rFont val="Calibri"/>
        <family val="2"/>
        <scheme val="minor"/>
      </rPr>
      <t xml:space="preserve"> 23</t>
    </r>
    <r>
      <rPr>
        <sz val="11"/>
        <color theme="1"/>
        <rFont val="Calibri"/>
        <family val="2"/>
        <charset val="186"/>
        <scheme val="minor"/>
      </rPr>
      <t xml:space="preserve"> iesniegtos valsts sektora aizsardzības un drošības jomas pārskatus. Salīdzinot ar 2020. gadu, 2021. gadā statistikas pārskatu skaits palielinājies par</t>
    </r>
    <r>
      <rPr>
        <sz val="11"/>
        <rFont val="Calibri"/>
        <family val="2"/>
        <scheme val="minor"/>
      </rPr>
      <t xml:space="preserve"> 4 j</t>
    </r>
    <r>
      <rPr>
        <sz val="11"/>
        <color theme="1"/>
        <rFont val="Calibri"/>
        <family val="2"/>
        <charset val="186"/>
        <scheme val="minor"/>
      </rPr>
      <t xml:space="preserve">eb 21%.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</si>
</sst>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14" x14ac:knownFonts="1">
    <font>
      <sz val="11"/>
      <color theme="1"/>
      <name val="Calibri"/>
      <family val="2"/>
      <charset val="186"/>
      <scheme val="minor"/>
    </font>
    <font>
      <b/>
      <sz val="11"/>
      <color theme="1"/>
      <name val="Calibri"/>
      <family val="2"/>
      <charset val="186"/>
      <scheme val="minor"/>
    </font>
    <font>
      <b/>
      <i/>
      <sz val="11"/>
      <color theme="1"/>
      <name val="Calibri"/>
      <family val="2"/>
      <charset val="186"/>
      <scheme val="minor"/>
    </font>
    <font>
      <b/>
      <sz val="12"/>
      <color theme="1"/>
      <name val="Calibri"/>
      <family val="2"/>
      <charset val="186"/>
      <scheme val="minor"/>
    </font>
    <font>
      <sz val="11"/>
      <color theme="1"/>
      <name val="Calibri"/>
      <family val="2"/>
      <charset val="186"/>
    </font>
    <font>
      <sz val="8"/>
      <name val="Calibri"/>
      <family val="2"/>
      <charset val="186"/>
      <scheme val="minor"/>
    </font>
    <font>
      <sz val="11"/>
      <name val="Calibri"/>
      <family val="2"/>
      <charset val="186"/>
      <scheme val="minor"/>
    </font>
    <font>
      <sz val="11"/>
      <color rgb="FFFF0000"/>
      <name val="Calibri"/>
      <family val="2"/>
      <charset val="186"/>
      <scheme val="minor"/>
    </font>
    <font>
      <b/>
      <sz val="11"/>
      <color theme="1"/>
      <name val="Calibri"/>
      <family val="2"/>
      <scheme val="minor"/>
    </font>
    <font>
      <sz val="10"/>
      <color rgb="FF4C4C4C"/>
      <name val="Arial"/>
      <family val="2"/>
    </font>
    <font>
      <i/>
      <sz val="11"/>
      <color theme="1"/>
      <name val="Calibri"/>
      <family val="2"/>
      <charset val="186"/>
      <scheme val="minor"/>
    </font>
    <font>
      <sz val="11"/>
      <name val="Calibri"/>
      <family val="2"/>
      <scheme val="minor"/>
    </font>
    <font>
      <b/>
      <i/>
      <sz val="11"/>
      <color theme="1"/>
      <name val="Calibri"/>
      <family val="2"/>
      <scheme val="minor"/>
    </font>
    <font>
      <sz val="10"/>
      <color theme="1"/>
      <name val="Calibri"/>
      <family val="2"/>
      <charset val="186"/>
      <scheme val="minor"/>
    </font>
  </fonts>
  <fills count="2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7575"/>
        <bgColor indexed="64"/>
      </patternFill>
    </fill>
    <fill>
      <patternFill patternType="solid">
        <fgColor rgb="FFADC19F"/>
        <bgColor indexed="64"/>
      </patternFill>
    </fill>
    <fill>
      <patternFill patternType="solid">
        <fgColor theme="8" tint="0.59999389629810485"/>
        <bgColor indexed="64"/>
      </patternFill>
    </fill>
    <fill>
      <patternFill patternType="solid">
        <fgColor rgb="FFFFB3B3"/>
        <bgColor indexed="64"/>
      </patternFill>
    </fill>
    <fill>
      <patternFill patternType="solid">
        <fgColor rgb="FFFFCC99"/>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
      <patternFill patternType="solid">
        <fgColor rgb="FFFF4343"/>
        <bgColor indexed="64"/>
      </patternFill>
    </fill>
    <fill>
      <patternFill patternType="solid">
        <fgColor theme="6" tint="0.59999389629810485"/>
        <bgColor indexed="64"/>
      </patternFill>
    </fill>
    <fill>
      <patternFill patternType="solid">
        <fgColor rgb="FFFF8181"/>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2" tint="-0.499984740745262"/>
        <bgColor indexed="64"/>
      </patternFill>
    </fill>
    <fill>
      <patternFill patternType="solid">
        <fgColor rgb="FF00B0F0"/>
        <bgColor indexed="64"/>
      </patternFill>
    </fill>
    <fill>
      <patternFill patternType="solid">
        <fgColor rgb="FF00B050"/>
        <bgColor indexed="64"/>
      </patternFill>
    </fill>
    <fill>
      <patternFill patternType="solid">
        <fgColor theme="7" tint="-0.249977111117893"/>
        <bgColor indexed="64"/>
      </patternFill>
    </fill>
    <fill>
      <patternFill patternType="solid">
        <fgColor rgb="FFFF1919"/>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bottom style="thin">
        <color indexed="64"/>
      </bottom>
      <diagonal/>
    </border>
    <border>
      <left/>
      <right style="thick">
        <color indexed="64"/>
      </right>
      <top/>
      <bottom style="thin">
        <color indexed="64"/>
      </bottom>
      <diagonal/>
    </border>
    <border>
      <left/>
      <right style="thin">
        <color indexed="64"/>
      </right>
      <top/>
      <bottom/>
      <diagonal/>
    </border>
    <border>
      <left style="thin">
        <color indexed="64"/>
      </left>
      <right style="thick">
        <color indexed="64"/>
      </right>
      <top style="thin">
        <color indexed="64"/>
      </top>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right/>
      <top style="medium">
        <color indexed="64"/>
      </top>
      <bottom/>
      <diagonal/>
    </border>
    <border>
      <left/>
      <right style="thin">
        <color indexed="64"/>
      </right>
      <top/>
      <bottom style="double">
        <color indexed="64"/>
      </bottom>
      <diagonal/>
    </border>
    <border>
      <left/>
      <right style="thick">
        <color indexed="64"/>
      </right>
      <top style="thin">
        <color indexed="64"/>
      </top>
      <bottom style="thin">
        <color indexed="64"/>
      </bottom>
      <diagonal/>
    </border>
  </borders>
  <cellStyleXfs count="1">
    <xf numFmtId="0" fontId="0" fillId="0" borderId="0"/>
  </cellStyleXfs>
  <cellXfs count="346">
    <xf numFmtId="0" fontId="0" fillId="0" borderId="0" xfId="0"/>
    <xf numFmtId="0" fontId="1" fillId="0" borderId="0" xfId="0" applyFont="1"/>
    <xf numFmtId="0" fontId="0" fillId="0" borderId="1" xfId="0" applyBorder="1"/>
    <xf numFmtId="0" fontId="0" fillId="0" borderId="1" xfId="0" applyBorder="1" applyAlignment="1">
      <alignment horizontal="right"/>
    </xf>
    <xf numFmtId="3" fontId="0" fillId="0" borderId="1" xfId="0" applyNumberFormat="1" applyBorder="1" applyAlignment="1">
      <alignment horizontal="right"/>
    </xf>
    <xf numFmtId="3" fontId="0" fillId="0" borderId="1" xfId="0" applyNumberFormat="1" applyBorder="1"/>
    <xf numFmtId="0" fontId="0" fillId="0" borderId="6" xfId="0" applyBorder="1"/>
    <xf numFmtId="0" fontId="0" fillId="0" borderId="6" xfId="0" applyBorder="1" applyAlignment="1">
      <alignment horizontal="right" wrapText="1"/>
    </xf>
    <xf numFmtId="0" fontId="0" fillId="0" borderId="6" xfId="0" applyBorder="1" applyAlignment="1">
      <alignment horizontal="right"/>
    </xf>
    <xf numFmtId="3" fontId="0" fillId="0" borderId="6" xfId="0" applyNumberFormat="1" applyBorder="1" applyAlignment="1">
      <alignment horizontal="right" wrapText="1"/>
    </xf>
    <xf numFmtId="3" fontId="0" fillId="0" borderId="6" xfId="0" applyNumberFormat="1" applyBorder="1" applyAlignment="1">
      <alignment horizontal="right"/>
    </xf>
    <xf numFmtId="0" fontId="0" fillId="0" borderId="5" xfId="0" applyBorder="1"/>
    <xf numFmtId="0" fontId="0" fillId="0" borderId="5" xfId="0" applyBorder="1" applyAlignment="1">
      <alignment horizontal="center" wrapText="1"/>
    </xf>
    <xf numFmtId="3" fontId="0" fillId="0" borderId="0" xfId="0" applyNumberFormat="1" applyFill="1" applyBorder="1" applyAlignment="1">
      <alignment horizontal="right"/>
    </xf>
    <xf numFmtId="0" fontId="0" fillId="0" borderId="9" xfId="0" applyBorder="1" applyAlignment="1">
      <alignment wrapText="1"/>
    </xf>
    <xf numFmtId="0" fontId="2" fillId="2" borderId="6" xfId="0" applyFont="1" applyFill="1" applyBorder="1" applyAlignment="1">
      <alignment horizontal="right"/>
    </xf>
    <xf numFmtId="3" fontId="0" fillId="0" borderId="6" xfId="0" applyNumberFormat="1" applyBorder="1" applyAlignment="1">
      <alignment wrapText="1"/>
    </xf>
    <xf numFmtId="3" fontId="0" fillId="0" borderId="6" xfId="0" applyNumberFormat="1" applyBorder="1"/>
    <xf numFmtId="3" fontId="0" fillId="0" borderId="11" xfId="0" applyNumberFormat="1" applyBorder="1"/>
    <xf numFmtId="3" fontId="0" fillId="0" borderId="14" xfId="0" applyNumberFormat="1" applyBorder="1"/>
    <xf numFmtId="3" fontId="0" fillId="0" borderId="5" xfId="0" applyNumberFormat="1" applyBorder="1" applyAlignment="1">
      <alignment wrapText="1"/>
    </xf>
    <xf numFmtId="3" fontId="0" fillId="0" borderId="5" xfId="0" applyNumberFormat="1" applyBorder="1"/>
    <xf numFmtId="3" fontId="0" fillId="0" borderId="12" xfId="0" applyNumberFormat="1" applyBorder="1"/>
    <xf numFmtId="3" fontId="0" fillId="0" borderId="15" xfId="0" applyNumberFormat="1" applyBorder="1"/>
    <xf numFmtId="3" fontId="2" fillId="2" borderId="6" xfId="0" applyNumberFormat="1" applyFont="1" applyFill="1" applyBorder="1" applyAlignment="1">
      <alignment wrapText="1"/>
    </xf>
    <xf numFmtId="3" fontId="2" fillId="2" borderId="6" xfId="0" applyNumberFormat="1" applyFont="1" applyFill="1" applyBorder="1"/>
    <xf numFmtId="3" fontId="2" fillId="2" borderId="11" xfId="0" applyNumberFormat="1" applyFont="1" applyFill="1" applyBorder="1"/>
    <xf numFmtId="3" fontId="2" fillId="2" borderId="14" xfId="0" applyNumberFormat="1" applyFont="1" applyFill="1" applyBorder="1"/>
    <xf numFmtId="3" fontId="0" fillId="0" borderId="1" xfId="0" applyNumberFormat="1" applyBorder="1" applyAlignment="1">
      <alignment wrapText="1"/>
    </xf>
    <xf numFmtId="3" fontId="0" fillId="0" borderId="2" xfId="0" applyNumberFormat="1" applyBorder="1"/>
    <xf numFmtId="3" fontId="0" fillId="0" borderId="10" xfId="0" applyNumberFormat="1" applyBorder="1"/>
    <xf numFmtId="3" fontId="0" fillId="0" borderId="12" xfId="0" applyNumberFormat="1" applyBorder="1" applyAlignment="1">
      <alignment wrapText="1"/>
    </xf>
    <xf numFmtId="3" fontId="0" fillId="0" borderId="23" xfId="0" applyNumberFormat="1" applyBorder="1"/>
    <xf numFmtId="3" fontId="0" fillId="0" borderId="24" xfId="0" applyNumberFormat="1" applyBorder="1"/>
    <xf numFmtId="3" fontId="2" fillId="2" borderId="23" xfId="0" applyNumberFormat="1" applyFont="1" applyFill="1" applyBorder="1"/>
    <xf numFmtId="3" fontId="0" fillId="0" borderId="4" xfId="0" applyNumberFormat="1" applyBorder="1"/>
    <xf numFmtId="3" fontId="0" fillId="0" borderId="24" xfId="0" applyNumberFormat="1" applyBorder="1" applyAlignment="1">
      <alignment wrapText="1"/>
    </xf>
    <xf numFmtId="164" fontId="0" fillId="0" borderId="0" xfId="0" applyNumberFormat="1"/>
    <xf numFmtId="0" fontId="0" fillId="0" borderId="11" xfId="0" applyBorder="1"/>
    <xf numFmtId="0" fontId="0" fillId="0" borderId="2" xfId="0" applyBorder="1"/>
    <xf numFmtId="164" fontId="0" fillId="4" borderId="25" xfId="0" applyNumberFormat="1" applyFill="1" applyBorder="1"/>
    <xf numFmtId="164" fontId="0" fillId="0" borderId="26" xfId="0" applyNumberFormat="1" applyBorder="1"/>
    <xf numFmtId="164" fontId="0" fillId="4" borderId="27" xfId="0" applyNumberFormat="1" applyFill="1" applyBorder="1"/>
    <xf numFmtId="164" fontId="0" fillId="0" borderId="28" xfId="0" applyNumberFormat="1" applyBorder="1"/>
    <xf numFmtId="0" fontId="0" fillId="0" borderId="5" xfId="0" applyFill="1" applyBorder="1" applyAlignment="1">
      <alignment horizontal="center" wrapText="1"/>
    </xf>
    <xf numFmtId="0" fontId="0" fillId="0" borderId="8" xfId="0" applyBorder="1" applyAlignment="1">
      <alignment horizontal="center" wrapText="1"/>
    </xf>
    <xf numFmtId="0" fontId="0" fillId="0" borderId="29" xfId="0" applyBorder="1"/>
    <xf numFmtId="165" fontId="0" fillId="0" borderId="6" xfId="0" applyNumberFormat="1" applyBorder="1"/>
    <xf numFmtId="165" fontId="0" fillId="0" borderId="1" xfId="0" applyNumberFormat="1" applyBorder="1"/>
    <xf numFmtId="164" fontId="0" fillId="0" borderId="1" xfId="0" applyNumberFormat="1" applyBorder="1"/>
    <xf numFmtId="164" fontId="0" fillId="0" borderId="6" xfId="0" applyNumberFormat="1" applyBorder="1"/>
    <xf numFmtId="164" fontId="0" fillId="3" borderId="6" xfId="0" applyNumberFormat="1" applyFill="1" applyBorder="1"/>
    <xf numFmtId="164" fontId="0" fillId="3" borderId="1" xfId="0" applyNumberFormat="1" applyFill="1" applyBorder="1"/>
    <xf numFmtId="3" fontId="0" fillId="3" borderId="1" xfId="0" applyNumberFormat="1" applyFill="1" applyBorder="1"/>
    <xf numFmtId="3" fontId="0" fillId="3" borderId="6" xfId="0" applyNumberFormat="1" applyFill="1" applyBorder="1"/>
    <xf numFmtId="0" fontId="0" fillId="0" borderId="5" xfId="0" applyBorder="1" applyAlignment="1">
      <alignment wrapText="1"/>
    </xf>
    <xf numFmtId="0" fontId="0" fillId="0" borderId="9" xfId="0" applyBorder="1" applyAlignment="1">
      <alignment textRotation="90" wrapText="1"/>
    </xf>
    <xf numFmtId="0" fontId="0" fillId="0" borderId="13" xfId="0" applyBorder="1" applyAlignment="1">
      <alignment textRotation="90" wrapText="1"/>
    </xf>
    <xf numFmtId="3" fontId="0" fillId="0" borderId="30" xfId="0" applyNumberFormat="1" applyBorder="1"/>
    <xf numFmtId="3" fontId="2" fillId="2" borderId="31" xfId="0" applyNumberFormat="1" applyFont="1" applyFill="1" applyBorder="1"/>
    <xf numFmtId="0" fontId="0" fillId="8" borderId="1" xfId="0" applyFill="1" applyBorder="1"/>
    <xf numFmtId="0" fontId="1" fillId="0" borderId="1" xfId="0" applyFont="1" applyBorder="1"/>
    <xf numFmtId="0" fontId="0" fillId="0" borderId="1" xfId="0" applyBorder="1" applyAlignment="1">
      <alignment textRotation="90" wrapText="1"/>
    </xf>
    <xf numFmtId="0" fontId="0" fillId="0" borderId="1" xfId="0" applyBorder="1" applyAlignment="1">
      <alignment wrapText="1"/>
    </xf>
    <xf numFmtId="0" fontId="0" fillId="6" borderId="1" xfId="0" applyFill="1" applyBorder="1"/>
    <xf numFmtId="0" fontId="0" fillId="9" borderId="1" xfId="0" applyFill="1" applyBorder="1"/>
    <xf numFmtId="0" fontId="0" fillId="0" borderId="9" xfId="0" applyBorder="1"/>
    <xf numFmtId="3" fontId="0" fillId="0" borderId="9" xfId="0" applyNumberFormat="1" applyBorder="1"/>
    <xf numFmtId="3" fontId="0" fillId="0" borderId="0" xfId="0" applyNumberFormat="1"/>
    <xf numFmtId="3" fontId="0" fillId="0" borderId="0" xfId="0" applyNumberFormat="1" applyBorder="1"/>
    <xf numFmtId="164" fontId="0" fillId="0" borderId="0" xfId="0" applyNumberFormat="1" applyBorder="1"/>
    <xf numFmtId="3" fontId="1" fillId="10" borderId="1" xfId="0" applyNumberFormat="1" applyFont="1" applyFill="1" applyBorder="1"/>
    <xf numFmtId="0" fontId="3" fillId="0" borderId="0" xfId="0" applyFont="1"/>
    <xf numFmtId="0" fontId="0" fillId="0" borderId="1" xfId="0" applyFill="1" applyBorder="1"/>
    <xf numFmtId="0" fontId="0" fillId="0" borderId="5" xfId="0" applyBorder="1" applyAlignment="1">
      <alignment horizontal="center"/>
    </xf>
    <xf numFmtId="3" fontId="0" fillId="0" borderId="11" xfId="0" applyNumberFormat="1" applyBorder="1" applyAlignment="1">
      <alignment horizontal="right"/>
    </xf>
    <xf numFmtId="3" fontId="0" fillId="0" borderId="2" xfId="0" applyNumberFormat="1" applyBorder="1" applyAlignment="1">
      <alignment horizontal="right"/>
    </xf>
    <xf numFmtId="0" fontId="2" fillId="10" borderId="6" xfId="0" applyFont="1" applyFill="1" applyBorder="1" applyAlignment="1">
      <alignment horizontal="right"/>
    </xf>
    <xf numFmtId="3" fontId="2" fillId="10" borderId="6" xfId="0" applyNumberFormat="1" applyFont="1" applyFill="1" applyBorder="1"/>
    <xf numFmtId="3" fontId="2" fillId="10" borderId="6" xfId="0" applyNumberFormat="1" applyFont="1" applyFill="1" applyBorder="1" applyAlignment="1">
      <alignment horizontal="right" wrapText="1"/>
    </xf>
    <xf numFmtId="0" fontId="2" fillId="10" borderId="6" xfId="0" applyFont="1" applyFill="1" applyBorder="1"/>
    <xf numFmtId="0" fontId="2" fillId="10" borderId="11" xfId="0" applyFont="1" applyFill="1" applyBorder="1"/>
    <xf numFmtId="3" fontId="0" fillId="0" borderId="9" xfId="0" applyNumberFormat="1" applyBorder="1" applyAlignment="1">
      <alignment horizontal="right" wrapText="1"/>
    </xf>
    <xf numFmtId="3" fontId="2" fillId="10" borderId="11" xfId="0" applyNumberFormat="1" applyFont="1" applyFill="1" applyBorder="1"/>
    <xf numFmtId="3" fontId="0" fillId="11" borderId="9" xfId="0" applyNumberFormat="1" applyFill="1" applyBorder="1"/>
    <xf numFmtId="0" fontId="0" fillId="0" borderId="5" xfId="0" applyBorder="1" applyAlignment="1">
      <alignment horizontal="center" vertical="center"/>
    </xf>
    <xf numFmtId="0" fontId="0" fillId="10" borderId="6" xfId="0" applyFill="1" applyBorder="1"/>
    <xf numFmtId="0" fontId="0" fillId="0" borderId="12" xfId="0" applyBorder="1"/>
    <xf numFmtId="0" fontId="1" fillId="0" borderId="1" xfId="0" applyFont="1" applyBorder="1" applyAlignment="1">
      <alignment horizontal="right"/>
    </xf>
    <xf numFmtId="3" fontId="0" fillId="10" borderId="1" xfId="0" applyNumberFormat="1" applyFill="1" applyBorder="1"/>
    <xf numFmtId="0" fontId="0" fillId="10" borderId="1" xfId="0" applyFill="1" applyBorder="1"/>
    <xf numFmtId="3" fontId="1" fillId="0" borderId="1" xfId="0" applyNumberFormat="1" applyFont="1" applyBorder="1"/>
    <xf numFmtId="3" fontId="0" fillId="10" borderId="2" xfId="0" applyNumberFormat="1" applyFill="1" applyBorder="1"/>
    <xf numFmtId="3" fontId="1" fillId="10" borderId="2" xfId="0" applyNumberFormat="1" applyFont="1" applyFill="1" applyBorder="1"/>
    <xf numFmtId="0" fontId="0" fillId="10" borderId="14" xfId="0" applyFill="1" applyBorder="1"/>
    <xf numFmtId="0" fontId="0" fillId="10" borderId="10" xfId="0" applyFill="1" applyBorder="1"/>
    <xf numFmtId="3" fontId="1" fillId="0" borderId="10" xfId="0" applyNumberFormat="1" applyFont="1" applyBorder="1"/>
    <xf numFmtId="0" fontId="0" fillId="0" borderId="5" xfId="0" applyBorder="1" applyAlignment="1">
      <alignment horizontal="center"/>
    </xf>
    <xf numFmtId="0" fontId="0" fillId="0" borderId="1" xfId="0" applyBorder="1" applyAlignment="1">
      <alignment wrapText="1"/>
    </xf>
    <xf numFmtId="0" fontId="0" fillId="0" borderId="32" xfId="0" applyBorder="1"/>
    <xf numFmtId="165" fontId="0" fillId="0" borderId="7" xfId="0" applyNumberFormat="1" applyBorder="1"/>
    <xf numFmtId="0" fontId="0" fillId="3" borderId="6" xfId="0" applyFill="1" applyBorder="1"/>
    <xf numFmtId="0" fontId="0" fillId="3" borderId="1" xfId="0" applyFill="1" applyBorder="1"/>
    <xf numFmtId="0" fontId="0" fillId="12" borderId="6" xfId="0" applyFill="1" applyBorder="1"/>
    <xf numFmtId="0" fontId="0" fillId="12" borderId="1" xfId="0" applyFill="1" applyBorder="1"/>
    <xf numFmtId="3" fontId="0" fillId="12" borderId="6" xfId="0" applyNumberFormat="1" applyFill="1" applyBorder="1"/>
    <xf numFmtId="3" fontId="0" fillId="12" borderId="1" xfId="0" applyNumberFormat="1" applyFill="1" applyBorder="1"/>
    <xf numFmtId="164" fontId="0" fillId="12" borderId="6" xfId="0" applyNumberFormat="1" applyFill="1" applyBorder="1"/>
    <xf numFmtId="164" fontId="0" fillId="12" borderId="1" xfId="0" applyNumberFormat="1" applyFill="1" applyBorder="1"/>
    <xf numFmtId="3" fontId="0" fillId="0" borderId="34" xfId="0" applyNumberFormat="1" applyBorder="1"/>
    <xf numFmtId="3" fontId="0" fillId="0" borderId="3" xfId="0" applyNumberFormat="1" applyBorder="1"/>
    <xf numFmtId="3" fontId="0" fillId="0" borderId="35" xfId="0" applyNumberFormat="1" applyBorder="1"/>
    <xf numFmtId="3" fontId="0" fillId="0" borderId="29" xfId="0" applyNumberFormat="1" applyBorder="1"/>
    <xf numFmtId="3" fontId="2" fillId="2" borderId="36" xfId="0" applyNumberFormat="1" applyFont="1" applyFill="1" applyBorder="1"/>
    <xf numFmtId="3" fontId="2" fillId="2" borderId="22" xfId="0" applyNumberFormat="1" applyFont="1" applyFill="1" applyBorder="1"/>
    <xf numFmtId="3" fontId="0" fillId="0" borderId="7" xfId="0" applyNumberFormat="1" applyBorder="1"/>
    <xf numFmtId="0" fontId="0" fillId="0" borderId="1" xfId="0" applyBorder="1" applyAlignment="1">
      <alignment wrapText="1"/>
    </xf>
    <xf numFmtId="0" fontId="1" fillId="10" borderId="3" xfId="0" applyFont="1" applyFill="1" applyBorder="1" applyAlignment="1">
      <alignment horizontal="right"/>
    </xf>
    <xf numFmtId="0" fontId="0" fillId="0" borderId="0" xfId="0" applyFill="1" applyBorder="1"/>
    <xf numFmtId="0" fontId="0" fillId="0" borderId="7" xfId="0" applyFill="1" applyBorder="1"/>
    <xf numFmtId="164" fontId="0" fillId="0" borderId="7" xfId="0" applyNumberFormat="1" applyBorder="1"/>
    <xf numFmtId="0" fontId="0" fillId="11" borderId="1" xfId="0" applyFill="1" applyBorder="1"/>
    <xf numFmtId="0" fontId="0" fillId="0" borderId="5" xfId="0" applyBorder="1" applyAlignment="1">
      <alignment horizontal="center"/>
    </xf>
    <xf numFmtId="0" fontId="0" fillId="0" borderId="6" xfId="0" applyBorder="1" applyAlignment="1">
      <alignment horizontal="left" vertical="center" wrapText="1"/>
    </xf>
    <xf numFmtId="0" fontId="0" fillId="13" borderId="1" xfId="0" applyFill="1" applyBorder="1"/>
    <xf numFmtId="0" fontId="1" fillId="13" borderId="1" xfId="0" applyFont="1" applyFill="1" applyBorder="1"/>
    <xf numFmtId="3" fontId="1" fillId="13" borderId="1" xfId="0" applyNumberFormat="1" applyFont="1" applyFill="1" applyBorder="1"/>
    <xf numFmtId="3" fontId="0" fillId="11" borderId="1" xfId="0" applyNumberFormat="1" applyFill="1" applyBorder="1"/>
    <xf numFmtId="3" fontId="1" fillId="10" borderId="3" xfId="0" applyNumberFormat="1" applyFont="1" applyFill="1" applyBorder="1" applyAlignment="1">
      <alignment horizontal="right"/>
    </xf>
    <xf numFmtId="0" fontId="0" fillId="0" borderId="1" xfId="0" applyBorder="1" applyAlignment="1">
      <alignment wrapText="1"/>
    </xf>
    <xf numFmtId="0" fontId="1" fillId="10" borderId="3" xfId="0" applyFont="1" applyFill="1" applyBorder="1" applyAlignment="1">
      <alignment horizontal="right"/>
    </xf>
    <xf numFmtId="164" fontId="0" fillId="0" borderId="0" xfId="0" applyNumberFormat="1" applyFill="1" applyBorder="1"/>
    <xf numFmtId="0" fontId="0" fillId="0" borderId="7" xfId="0" applyBorder="1"/>
    <xf numFmtId="3" fontId="0" fillId="0" borderId="20" xfId="0" applyNumberFormat="1" applyBorder="1"/>
    <xf numFmtId="0" fontId="0" fillId="0" borderId="17" xfId="0" applyFill="1" applyBorder="1"/>
    <xf numFmtId="0" fontId="0" fillId="6" borderId="7" xfId="0" applyFill="1" applyBorder="1"/>
    <xf numFmtId="0" fontId="0" fillId="11" borderId="7" xfId="0" applyFill="1" applyBorder="1"/>
    <xf numFmtId="3" fontId="0" fillId="11" borderId="7" xfId="0" applyNumberFormat="1" applyFill="1" applyBorder="1"/>
    <xf numFmtId="0" fontId="0" fillId="14" borderId="1" xfId="0" applyFill="1" applyBorder="1"/>
    <xf numFmtId="3" fontId="6" fillId="0" borderId="1" xfId="0" applyNumberFormat="1" applyFont="1" applyBorder="1"/>
    <xf numFmtId="3" fontId="6" fillId="0" borderId="7" xfId="0" applyNumberFormat="1" applyFont="1" applyBorder="1"/>
    <xf numFmtId="3" fontId="6" fillId="0" borderId="39" xfId="0" applyNumberFormat="1" applyFont="1" applyBorder="1"/>
    <xf numFmtId="3" fontId="6" fillId="0" borderId="5" xfId="0" applyNumberFormat="1" applyFont="1" applyBorder="1"/>
    <xf numFmtId="164" fontId="0" fillId="11" borderId="1" xfId="0" applyNumberFormat="1" applyFill="1" applyBorder="1"/>
    <xf numFmtId="0" fontId="0" fillId="0" borderId="5" xfId="0" applyBorder="1" applyAlignment="1">
      <alignment horizontal="center"/>
    </xf>
    <xf numFmtId="0" fontId="0" fillId="0" borderId="1" xfId="0" applyBorder="1" applyAlignment="1">
      <alignment wrapText="1"/>
    </xf>
    <xf numFmtId="0" fontId="1" fillId="10" borderId="3" xfId="0" applyFont="1" applyFill="1" applyBorder="1" applyAlignment="1">
      <alignment horizontal="right"/>
    </xf>
    <xf numFmtId="0" fontId="0" fillId="2" borderId="6" xfId="0" applyFill="1" applyBorder="1"/>
    <xf numFmtId="0" fontId="0" fillId="2" borderId="11" xfId="0" applyFill="1" applyBorder="1"/>
    <xf numFmtId="0" fontId="0" fillId="0" borderId="10" xfId="0" applyBorder="1"/>
    <xf numFmtId="0" fontId="0" fillId="0" borderId="15" xfId="0" applyBorder="1"/>
    <xf numFmtId="0" fontId="0" fillId="13" borderId="2" xfId="0" applyFill="1" applyBorder="1"/>
    <xf numFmtId="0" fontId="0" fillId="11" borderId="0" xfId="0" applyFill="1"/>
    <xf numFmtId="0" fontId="1" fillId="11" borderId="0" xfId="0" applyFont="1" applyFill="1"/>
    <xf numFmtId="0" fontId="1" fillId="0" borderId="0" xfId="0" applyFont="1" applyAlignment="1">
      <alignment wrapText="1"/>
    </xf>
    <xf numFmtId="0" fontId="0" fillId="0" borderId="0" xfId="0" applyAlignment="1">
      <alignment wrapText="1"/>
    </xf>
    <xf numFmtId="0" fontId="0" fillId="0" borderId="0" xfId="0" quotePrefix="1" applyAlignment="1">
      <alignment wrapText="1"/>
    </xf>
    <xf numFmtId="3" fontId="0" fillId="0" borderId="32" xfId="0" applyNumberFormat="1" applyBorder="1"/>
    <xf numFmtId="0" fontId="8" fillId="0" borderId="1" xfId="0" applyFont="1" applyBorder="1"/>
    <xf numFmtId="0" fontId="0" fillId="11" borderId="0" xfId="0" applyFill="1" applyBorder="1"/>
    <xf numFmtId="0" fontId="8" fillId="13" borderId="1" xfId="0" applyFont="1" applyFill="1" applyBorder="1"/>
    <xf numFmtId="3" fontId="8" fillId="13" borderId="1" xfId="0" applyNumberFormat="1" applyFont="1" applyFill="1" applyBorder="1"/>
    <xf numFmtId="0" fontId="8" fillId="11" borderId="10" xfId="0" applyFont="1" applyFill="1" applyBorder="1"/>
    <xf numFmtId="3" fontId="8" fillId="11" borderId="1" xfId="0" applyNumberFormat="1" applyFont="1" applyFill="1" applyBorder="1"/>
    <xf numFmtId="0" fontId="0" fillId="2" borderId="22" xfId="0" applyFill="1" applyBorder="1"/>
    <xf numFmtId="3" fontId="0" fillId="0" borderId="40" xfId="0" applyNumberFormat="1" applyBorder="1"/>
    <xf numFmtId="3" fontId="8" fillId="15" borderId="1" xfId="0" applyNumberFormat="1" applyFont="1" applyFill="1" applyBorder="1"/>
    <xf numFmtId="0" fontId="9" fillId="0" borderId="0" xfId="0" applyFont="1"/>
    <xf numFmtId="0" fontId="8" fillId="2" borderId="11" xfId="0" applyFont="1" applyFill="1" applyBorder="1"/>
    <xf numFmtId="3" fontId="8" fillId="15" borderId="40" xfId="0" applyNumberFormat="1" applyFont="1" applyFill="1" applyBorder="1"/>
    <xf numFmtId="0" fontId="8" fillId="2" borderId="6" xfId="0" applyFont="1" applyFill="1" applyBorder="1"/>
    <xf numFmtId="3" fontId="8" fillId="2" borderId="6" xfId="0" applyNumberFormat="1" applyFont="1" applyFill="1" applyBorder="1"/>
    <xf numFmtId="0" fontId="8" fillId="2" borderId="1" xfId="0" applyFont="1" applyFill="1" applyBorder="1"/>
    <xf numFmtId="0" fontId="8" fillId="2" borderId="14" xfId="0" applyFont="1" applyFill="1" applyBorder="1"/>
    <xf numFmtId="0" fontId="8" fillId="0" borderId="5" xfId="0" applyFont="1" applyBorder="1" applyAlignment="1">
      <alignment horizontal="center"/>
    </xf>
    <xf numFmtId="0" fontId="8" fillId="0" borderId="6" xfId="0" applyFont="1" applyBorder="1" applyAlignment="1">
      <alignment horizontal="right"/>
    </xf>
    <xf numFmtId="0" fontId="8" fillId="0" borderId="1" xfId="0" applyFont="1" applyBorder="1" applyAlignment="1">
      <alignment horizontal="right"/>
    </xf>
    <xf numFmtId="3" fontId="8" fillId="0" borderId="1" xfId="0" applyNumberFormat="1" applyFont="1" applyBorder="1"/>
    <xf numFmtId="3" fontId="8" fillId="0" borderId="6" xfId="0" applyNumberFormat="1" applyFont="1" applyBorder="1" applyAlignment="1">
      <alignment horizontal="right"/>
    </xf>
    <xf numFmtId="3" fontId="8" fillId="0" borderId="1" xfId="0" applyNumberFormat="1" applyFont="1" applyBorder="1" applyAlignment="1">
      <alignment horizontal="right"/>
    </xf>
    <xf numFmtId="0" fontId="0" fillId="16" borderId="1" xfId="0" applyFill="1" applyBorder="1"/>
    <xf numFmtId="0" fontId="8" fillId="0" borderId="0" xfId="0" applyFont="1"/>
    <xf numFmtId="0" fontId="8" fillId="0" borderId="0" xfId="0" applyFont="1" applyAlignment="1">
      <alignment wrapText="1"/>
    </xf>
    <xf numFmtId="0" fontId="8" fillId="11" borderId="0" xfId="0" applyFont="1" applyFill="1" applyBorder="1"/>
    <xf numFmtId="0" fontId="0" fillId="17" borderId="1" xfId="0" applyFill="1" applyBorder="1"/>
    <xf numFmtId="0" fontId="0" fillId="19" borderId="1" xfId="0" applyFill="1" applyBorder="1"/>
    <xf numFmtId="0" fontId="0" fillId="20" borderId="1" xfId="0" applyFill="1" applyBorder="1"/>
    <xf numFmtId="0" fontId="0" fillId="0" borderId="1" xfId="0" applyBorder="1" applyAlignment="1">
      <alignment wrapText="1"/>
    </xf>
    <xf numFmtId="0" fontId="1" fillId="10" borderId="3" xfId="0" applyFont="1" applyFill="1" applyBorder="1" applyAlignment="1">
      <alignment horizontal="right"/>
    </xf>
    <xf numFmtId="164" fontId="0" fillId="0" borderId="42" xfId="0" applyNumberFormat="1" applyBorder="1"/>
    <xf numFmtId="164" fontId="0" fillId="0" borderId="38" xfId="0" applyNumberFormat="1" applyBorder="1"/>
    <xf numFmtId="164" fontId="0" fillId="11" borderId="7" xfId="0" applyNumberFormat="1" applyFill="1" applyBorder="1"/>
    <xf numFmtId="3" fontId="0" fillId="2" borderId="6" xfId="0" applyNumberFormat="1" applyFill="1" applyBorder="1"/>
    <xf numFmtId="3" fontId="0" fillId="2" borderId="11" xfId="0" applyNumberFormat="1" applyFill="1" applyBorder="1"/>
    <xf numFmtId="3" fontId="8" fillId="2" borderId="14" xfId="0" applyNumberFormat="1" applyFont="1" applyFill="1" applyBorder="1"/>
    <xf numFmtId="0" fontId="8" fillId="2" borderId="43" xfId="0" applyFont="1" applyFill="1" applyBorder="1"/>
    <xf numFmtId="3" fontId="8" fillId="15" borderId="44" xfId="0" applyNumberFormat="1" applyFont="1" applyFill="1" applyBorder="1"/>
    <xf numFmtId="0" fontId="1" fillId="0" borderId="1" xfId="0" applyFont="1" applyFill="1" applyBorder="1"/>
    <xf numFmtId="0" fontId="12" fillId="10" borderId="6" xfId="0" applyFont="1" applyFill="1" applyBorder="1"/>
    <xf numFmtId="3" fontId="12" fillId="10" borderId="6" xfId="0" applyNumberFormat="1" applyFont="1" applyFill="1" applyBorder="1"/>
    <xf numFmtId="0" fontId="0" fillId="0" borderId="1" xfId="0" applyBorder="1" applyAlignment="1">
      <alignment wrapText="1"/>
    </xf>
    <xf numFmtId="0" fontId="1" fillId="10" borderId="3" xfId="0" applyFont="1" applyFill="1" applyBorder="1" applyAlignment="1">
      <alignment horizontal="right"/>
    </xf>
    <xf numFmtId="0" fontId="0" fillId="0" borderId="5" xfId="0" applyBorder="1" applyAlignment="1">
      <alignment horizontal="center" vertical="center" wrapText="1"/>
    </xf>
    <xf numFmtId="0" fontId="0" fillId="0" borderId="5" xfId="0" applyBorder="1" applyAlignment="1">
      <alignment horizontal="center"/>
    </xf>
    <xf numFmtId="0" fontId="0" fillId="0" borderId="29" xfId="0" applyBorder="1" applyAlignment="1">
      <alignment horizontal="center" wrapText="1"/>
    </xf>
    <xf numFmtId="164" fontId="0" fillId="4" borderId="45" xfId="0" applyNumberFormat="1" applyFill="1" applyBorder="1"/>
    <xf numFmtId="164" fontId="0" fillId="4" borderId="0" xfId="0" applyNumberFormat="1" applyFill="1" applyBorder="1"/>
    <xf numFmtId="164" fontId="0" fillId="4" borderId="20" xfId="0" applyNumberFormat="1" applyFill="1" applyBorder="1"/>
    <xf numFmtId="164" fontId="0" fillId="4" borderId="3" xfId="0" applyNumberFormat="1" applyFill="1" applyBorder="1"/>
    <xf numFmtId="164" fontId="0" fillId="0" borderId="3" xfId="0" applyNumberFormat="1" applyBorder="1"/>
    <xf numFmtId="164" fontId="0" fillId="11" borderId="6" xfId="0" applyNumberFormat="1" applyFill="1" applyBorder="1"/>
    <xf numFmtId="0" fontId="0" fillId="6" borderId="2" xfId="0" applyFill="1" applyBorder="1" applyAlignment="1"/>
    <xf numFmtId="0" fontId="0" fillId="6" borderId="4" xfId="0" applyFill="1" applyBorder="1" applyAlignment="1"/>
    <xf numFmtId="3" fontId="6" fillId="11" borderId="7" xfId="0" applyNumberFormat="1" applyFont="1" applyFill="1" applyBorder="1"/>
    <xf numFmtId="0" fontId="0" fillId="11" borderId="29" xfId="0" applyFill="1" applyBorder="1"/>
    <xf numFmtId="3" fontId="0" fillId="11" borderId="5" xfId="0" applyNumberFormat="1" applyFill="1" applyBorder="1"/>
    <xf numFmtId="0" fontId="8" fillId="2" borderId="22" xfId="0" applyFont="1" applyFill="1" applyBorder="1"/>
    <xf numFmtId="0" fontId="0" fillId="3" borderId="1" xfId="0" applyFill="1" applyBorder="1" applyAlignment="1"/>
    <xf numFmtId="166" fontId="0" fillId="0" borderId="0" xfId="0" applyNumberFormat="1"/>
    <xf numFmtId="0" fontId="0" fillId="18" borderId="2" xfId="0" applyFill="1" applyBorder="1"/>
    <xf numFmtId="0" fontId="0" fillId="0" borderId="2" xfId="0" applyFill="1" applyBorder="1"/>
    <xf numFmtId="0" fontId="0" fillId="21" borderId="1" xfId="0" applyFill="1" applyBorder="1"/>
    <xf numFmtId="0" fontId="0" fillId="22" borderId="1" xfId="0" applyFill="1" applyBorder="1"/>
    <xf numFmtId="0" fontId="0" fillId="23" borderId="1" xfId="0" applyFill="1" applyBorder="1"/>
    <xf numFmtId="0" fontId="0" fillId="0" borderId="15" xfId="0" applyBorder="1" applyAlignment="1">
      <alignment horizontal="center" vertical="center"/>
    </xf>
    <xf numFmtId="0" fontId="0" fillId="0" borderId="17" xfId="0" applyBorder="1"/>
    <xf numFmtId="0" fontId="0" fillId="5" borderId="1" xfId="0" applyFill="1" applyBorder="1"/>
    <xf numFmtId="3" fontId="0" fillId="11" borderId="0" xfId="0" applyNumberFormat="1" applyFill="1" applyBorder="1"/>
    <xf numFmtId="2" fontId="0" fillId="11" borderId="0" xfId="0" applyNumberFormat="1" applyFill="1" applyBorder="1"/>
    <xf numFmtId="10" fontId="0" fillId="0" borderId="0" xfId="0" applyNumberFormat="1"/>
    <xf numFmtId="0" fontId="0" fillId="9" borderId="3" xfId="0" applyFill="1" applyBorder="1"/>
    <xf numFmtId="0" fontId="0" fillId="11" borderId="3" xfId="0" applyFill="1" applyBorder="1"/>
    <xf numFmtId="3" fontId="0" fillId="11" borderId="3" xfId="0" applyNumberFormat="1" applyFill="1" applyBorder="1"/>
    <xf numFmtId="3" fontId="0" fillId="6" borderId="1" xfId="0" applyNumberFormat="1" applyFill="1" applyBorder="1"/>
    <xf numFmtId="3" fontId="0" fillId="6" borderId="7" xfId="0" applyNumberFormat="1" applyFill="1" applyBorder="1"/>
    <xf numFmtId="3" fontId="0" fillId="14" borderId="1" xfId="0" applyNumberFormat="1" applyFill="1" applyBorder="1"/>
    <xf numFmtId="3" fontId="0" fillId="9" borderId="1" xfId="0" applyNumberFormat="1" applyFill="1" applyBorder="1"/>
    <xf numFmtId="3" fontId="0" fillId="9" borderId="3" xfId="0" applyNumberFormat="1" applyFill="1" applyBorder="1"/>
    <xf numFmtId="164" fontId="8" fillId="0" borderId="0" xfId="0" applyNumberFormat="1" applyFont="1" applyFill="1" applyBorder="1"/>
    <xf numFmtId="0" fontId="13" fillId="0" borderId="1" xfId="0" applyFont="1" applyBorder="1"/>
    <xf numFmtId="0" fontId="13" fillId="0" borderId="5" xfId="0" applyFont="1" applyBorder="1"/>
    <xf numFmtId="0" fontId="13" fillId="0" borderId="5" xfId="0" applyFont="1" applyBorder="1" applyAlignment="1">
      <alignment horizontal="center"/>
    </xf>
    <xf numFmtId="0" fontId="13" fillId="0" borderId="5" xfId="0" applyFont="1" applyBorder="1" applyAlignment="1">
      <alignment horizontal="center" wrapText="1"/>
    </xf>
    <xf numFmtId="0" fontId="13" fillId="0" borderId="5" xfId="0" applyFont="1" applyFill="1" applyBorder="1" applyAlignment="1">
      <alignment horizontal="center"/>
    </xf>
    <xf numFmtId="0" fontId="13" fillId="0" borderId="5" xfId="0" applyFont="1" applyBorder="1" applyAlignment="1">
      <alignment vertical="center" wrapText="1"/>
    </xf>
    <xf numFmtId="0" fontId="13" fillId="0" borderId="5" xfId="0" applyFont="1" applyBorder="1" applyAlignment="1">
      <alignment horizontal="center" vertical="center"/>
    </xf>
    <xf numFmtId="0" fontId="13" fillId="0" borderId="5" xfId="0" applyFont="1" applyBorder="1" applyAlignment="1">
      <alignment vertical="center"/>
    </xf>
    <xf numFmtId="0" fontId="13" fillId="0" borderId="5" xfId="0" applyFont="1" applyFill="1" applyBorder="1" applyAlignment="1">
      <alignment vertical="center"/>
    </xf>
    <xf numFmtId="0" fontId="0" fillId="24" borderId="1" xfId="0" applyFill="1" applyBorder="1"/>
    <xf numFmtId="0" fontId="0" fillId="9" borderId="0" xfId="0" applyFill="1"/>
    <xf numFmtId="0" fontId="1" fillId="0" borderId="0" xfId="0" applyFont="1" applyAlignment="1">
      <alignment horizontal="center" wrapText="1"/>
    </xf>
    <xf numFmtId="0" fontId="0" fillId="0" borderId="0" xfId="0" applyAlignment="1">
      <alignment horizontal="left" wrapText="1"/>
    </xf>
    <xf numFmtId="0" fontId="1" fillId="0" borderId="0" xfId="0" applyFont="1" applyAlignment="1">
      <alignment horizontal="left"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wrapText="1"/>
    </xf>
    <xf numFmtId="0" fontId="8" fillId="0" borderId="0" xfId="0" applyFont="1" applyAlignment="1">
      <alignment horizontal="left" wrapText="1"/>
    </xf>
    <xf numFmtId="0" fontId="0" fillId="0" borderId="20" xfId="0" applyBorder="1" applyAlignment="1">
      <alignment horizontal="center"/>
    </xf>
    <xf numFmtId="0" fontId="0" fillId="0" borderId="46" xfId="0"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center"/>
    </xf>
    <xf numFmtId="0" fontId="0" fillId="0" borderId="1" xfId="0" applyBorder="1" applyAlignment="1">
      <alignment horizontal="center"/>
    </xf>
    <xf numFmtId="0" fontId="0" fillId="0" borderId="7" xfId="0" applyBorder="1" applyAlignment="1">
      <alignment horizontal="center" wrapText="1"/>
    </xf>
    <xf numFmtId="0" fontId="0" fillId="0" borderId="17" xfId="0" applyBorder="1" applyAlignment="1">
      <alignment horizontal="center" wrapText="1"/>
    </xf>
    <xf numFmtId="0" fontId="0" fillId="0" borderId="18" xfId="0" applyBorder="1" applyAlignment="1">
      <alignment horizontal="center" wrapText="1"/>
    </xf>
    <xf numFmtId="0" fontId="0" fillId="0" borderId="6" xfId="0" applyBorder="1" applyAlignment="1">
      <alignment horizontal="center" wrapText="1"/>
    </xf>
    <xf numFmtId="0" fontId="0" fillId="0" borderId="19"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0" borderId="23"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7" borderId="4" xfId="0" applyFill="1" applyBorder="1" applyAlignment="1">
      <alignment horizontal="center"/>
    </xf>
    <xf numFmtId="0" fontId="0" fillId="7" borderId="47" xfId="0" applyFill="1" applyBorder="1" applyAlignment="1">
      <alignment horizontal="center"/>
    </xf>
    <xf numFmtId="0" fontId="0" fillId="0" borderId="16" xfId="0" applyBorder="1" applyAlignment="1">
      <alignment horizontal="center" wrapText="1"/>
    </xf>
    <xf numFmtId="0" fontId="1" fillId="0" borderId="0" xfId="0" applyFont="1" applyAlignment="1">
      <alignment horizontal="center"/>
    </xf>
    <xf numFmtId="0" fontId="4" fillId="0" borderId="1" xfId="0" applyFont="1" applyBorder="1" applyAlignment="1">
      <alignment horizontal="left" wrapText="1"/>
    </xf>
    <xf numFmtId="2" fontId="0" fillId="0" borderId="1" xfId="0" applyNumberForma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4" fillId="0" borderId="6" xfId="0" applyFont="1" applyBorder="1" applyAlignment="1">
      <alignment horizontal="left" wrapText="1"/>
    </xf>
    <xf numFmtId="0" fontId="0" fillId="0" borderId="11" xfId="0" applyBorder="1" applyAlignment="1">
      <alignment horizontal="left" wrapText="1"/>
    </xf>
    <xf numFmtId="0" fontId="0" fillId="0" borderId="23" xfId="0" applyBorder="1" applyAlignment="1">
      <alignment horizontal="left" wrapText="1"/>
    </xf>
    <xf numFmtId="0" fontId="0" fillId="0" borderId="22" xfId="0" applyBorder="1" applyAlignment="1">
      <alignment horizontal="left" wrapText="1"/>
    </xf>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xf>
    <xf numFmtId="0" fontId="0" fillId="0" borderId="33" xfId="0" applyBorder="1" applyAlignment="1">
      <alignment horizontal="center"/>
    </xf>
    <xf numFmtId="0" fontId="0" fillId="0" borderId="6" xfId="0"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0" fontId="4" fillId="0" borderId="1" xfId="0" applyFont="1" applyBorder="1" applyAlignment="1">
      <alignment horizontal="center" wrapText="1"/>
    </xf>
    <xf numFmtId="0" fontId="1" fillId="0" borderId="11" xfId="0" applyFont="1" applyBorder="1" applyAlignment="1">
      <alignment horizontal="center" wrapText="1"/>
    </xf>
    <xf numFmtId="0" fontId="1" fillId="0" borderId="23" xfId="0" applyFont="1" applyBorder="1" applyAlignment="1">
      <alignment horizontal="center" wrapText="1"/>
    </xf>
    <xf numFmtId="0" fontId="1" fillId="0" borderId="41" xfId="0" applyFont="1" applyBorder="1" applyAlignment="1">
      <alignment horizontal="left" wrapText="1"/>
    </xf>
    <xf numFmtId="0" fontId="4" fillId="0" borderId="6" xfId="0" applyFont="1" applyBorder="1" applyAlignment="1">
      <alignment horizontal="center" wrapText="1"/>
    </xf>
    <xf numFmtId="0" fontId="4" fillId="0" borderId="11" xfId="0" applyFont="1" applyBorder="1" applyAlignment="1">
      <alignment horizontal="center" wrapText="1"/>
    </xf>
    <xf numFmtId="0" fontId="4" fillId="0" borderId="22" xfId="0" applyFont="1" applyBorder="1" applyAlignment="1">
      <alignment horizontal="center" wrapText="1"/>
    </xf>
    <xf numFmtId="0" fontId="4" fillId="0" borderId="37" xfId="0" applyFont="1" applyBorder="1" applyAlignment="1">
      <alignment horizontal="center" wrapText="1"/>
    </xf>
    <xf numFmtId="0" fontId="0" fillId="0" borderId="1" xfId="0" applyBorder="1" applyAlignment="1">
      <alignment wrapText="1"/>
    </xf>
    <xf numFmtId="0" fontId="0" fillId="0" borderId="7" xfId="0" applyBorder="1" applyAlignment="1">
      <alignment horizontal="left" vertical="center"/>
    </xf>
    <xf numFmtId="0" fontId="0" fillId="0" borderId="6" xfId="0" applyBorder="1" applyAlignment="1">
      <alignment horizontal="left" vertical="center"/>
    </xf>
    <xf numFmtId="0" fontId="0" fillId="0" borderId="32"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1" fillId="10" borderId="2" xfId="0" applyFont="1" applyFill="1" applyBorder="1" applyAlignment="1">
      <alignment horizontal="right"/>
    </xf>
    <xf numFmtId="0" fontId="1" fillId="10" borderId="3" xfId="0" applyFont="1" applyFill="1" applyBorder="1" applyAlignment="1">
      <alignment horizontal="right"/>
    </xf>
    <xf numFmtId="0" fontId="0" fillId="0" borderId="1" xfId="0" applyBorder="1" applyAlignment="1">
      <alignment horizontal="left" vertical="center"/>
    </xf>
    <xf numFmtId="0" fontId="0" fillId="0" borderId="17" xfId="0" applyBorder="1" applyAlignment="1">
      <alignment horizontal="left" vertical="center"/>
    </xf>
    <xf numFmtId="0" fontId="0" fillId="0" borderId="20" xfId="0" applyBorder="1" applyAlignment="1">
      <alignment horizontal="left" vertical="center"/>
    </xf>
    <xf numFmtId="0" fontId="0" fillId="0" borderId="38" xfId="0" applyBorder="1" applyAlignment="1">
      <alignment horizontal="left" vertical="center"/>
    </xf>
    <xf numFmtId="0" fontId="0" fillId="0" borderId="22" xfId="0" applyBorder="1" applyAlignment="1">
      <alignment horizontal="left" vertical="center"/>
    </xf>
    <xf numFmtId="0" fontId="0" fillId="0" borderId="7" xfId="0" applyBorder="1" applyAlignment="1">
      <alignment horizontal="left" vertical="center" wrapText="1"/>
    </xf>
    <xf numFmtId="0" fontId="0" fillId="0" borderId="17"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wrapText="1"/>
    </xf>
    <xf numFmtId="0" fontId="0" fillId="0" borderId="1" xfId="0" applyBorder="1" applyAlignment="1">
      <alignment horizontal="left"/>
    </xf>
    <xf numFmtId="0" fontId="0" fillId="11" borderId="1" xfId="0" applyFill="1" applyBorder="1" applyAlignment="1">
      <alignment horizontal="left" wrapText="1"/>
    </xf>
    <xf numFmtId="0" fontId="0" fillId="11" borderId="2" xfId="0" applyFill="1" applyBorder="1" applyAlignment="1">
      <alignment horizontal="left" wrapText="1"/>
    </xf>
    <xf numFmtId="0" fontId="0" fillId="11" borderId="4" xfId="0" applyFill="1" applyBorder="1" applyAlignment="1">
      <alignment horizontal="left" wrapText="1"/>
    </xf>
    <xf numFmtId="0" fontId="0" fillId="11" borderId="3" xfId="0" applyFill="1" applyBorder="1" applyAlignment="1">
      <alignment horizontal="left" wrapText="1"/>
    </xf>
  </cellXfs>
  <cellStyles count="1">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color rgb="FFFF1919"/>
      <color rgb="FFFF7575"/>
      <color rgb="FFADC19F"/>
      <color rgb="FFFFB3B3"/>
      <color rgb="FFFF8181"/>
      <color rgb="FF647E52"/>
      <color rgb="FFFF4343"/>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Aizsardzības un drošības jomas galveno</a:t>
            </a:r>
            <a:r>
              <a:rPr lang="lv-LV" baseline="0"/>
              <a:t> rādītāju diagramma pa gadiem</a:t>
            </a:r>
            <a:endParaRPr lang="lv-LV"/>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074410177595526"/>
          <c:y val="0.13738535249828884"/>
          <c:w val="0.82580740962743404"/>
          <c:h val="0.60471255261470136"/>
        </c:manualLayout>
      </c:layout>
      <c:barChart>
        <c:barDir val="col"/>
        <c:grouping val="clustered"/>
        <c:varyColors val="0"/>
        <c:ser>
          <c:idx val="0"/>
          <c:order val="0"/>
          <c:tx>
            <c:strRef>
              <c:f>'II. Diagramma_pa_gadiem'!$B$28</c:f>
              <c:strCache>
                <c:ptCount val="1"/>
                <c:pt idx="0">
                  <c:v>Iepirkumu skaits 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Diagramma_pa_gadiem'!$A$29:$A$38</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'II. Diagramma_pa_gadiem'!$B$29:$B$38</c:f>
              <c:numCache>
                <c:formatCode>General</c:formatCode>
                <c:ptCount val="10"/>
                <c:pt idx="0">
                  <c:v>1</c:v>
                </c:pt>
                <c:pt idx="1">
                  <c:v>2</c:v>
                </c:pt>
                <c:pt idx="2">
                  <c:v>4</c:v>
                </c:pt>
                <c:pt idx="3">
                  <c:v>11</c:v>
                </c:pt>
                <c:pt idx="4">
                  <c:v>8</c:v>
                </c:pt>
                <c:pt idx="5">
                  <c:v>18</c:v>
                </c:pt>
                <c:pt idx="6">
                  <c:v>10</c:v>
                </c:pt>
                <c:pt idx="7">
                  <c:v>11</c:v>
                </c:pt>
                <c:pt idx="8">
                  <c:v>12</c:v>
                </c:pt>
                <c:pt idx="9">
                  <c:v>22</c:v>
                </c:pt>
              </c:numCache>
            </c:numRef>
          </c:val>
          <c:extLst>
            <c:ext xmlns:c16="http://schemas.microsoft.com/office/drawing/2014/chart" uri="{C3380CC4-5D6E-409C-BE32-E72D297353CC}">
              <c16:uniqueId val="{00000000-8013-408E-A454-7F27AE0CC8C1}"/>
            </c:ext>
          </c:extLst>
        </c:ser>
        <c:ser>
          <c:idx val="1"/>
          <c:order val="1"/>
          <c:tx>
            <c:strRef>
              <c:f>'II. Diagramma_pa_gadiem'!$C$28</c:f>
              <c:strCache>
                <c:ptCount val="1"/>
                <c:pt idx="0">
                  <c:v>Iepirkumu skaits 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Diagramma_pa_gadiem'!$A$29:$A$38</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'II. Diagramma_pa_gadiem'!$C$29:$C$38</c:f>
              <c:numCache>
                <c:formatCode>General</c:formatCode>
                <c:ptCount val="10"/>
                <c:pt idx="0">
                  <c:v>2</c:v>
                </c:pt>
                <c:pt idx="1">
                  <c:v>18</c:v>
                </c:pt>
                <c:pt idx="2">
                  <c:v>13</c:v>
                </c:pt>
                <c:pt idx="3">
                  <c:v>27</c:v>
                </c:pt>
                <c:pt idx="4">
                  <c:v>19</c:v>
                </c:pt>
                <c:pt idx="5">
                  <c:v>18</c:v>
                </c:pt>
                <c:pt idx="6">
                  <c:v>29</c:v>
                </c:pt>
                <c:pt idx="7">
                  <c:v>31</c:v>
                </c:pt>
                <c:pt idx="8">
                  <c:v>61</c:v>
                </c:pt>
                <c:pt idx="9">
                  <c:v>48</c:v>
                </c:pt>
              </c:numCache>
            </c:numRef>
          </c:val>
          <c:extLst>
            <c:ext xmlns:c16="http://schemas.microsoft.com/office/drawing/2014/chart" uri="{C3380CC4-5D6E-409C-BE32-E72D297353CC}">
              <c16:uniqueId val="{00000001-8013-408E-A454-7F27AE0CC8C1}"/>
            </c:ext>
          </c:extLst>
        </c:ser>
        <c:dLbls>
          <c:dLblPos val="outEnd"/>
          <c:showLegendKey val="0"/>
          <c:showVal val="1"/>
          <c:showCatName val="0"/>
          <c:showSerName val="0"/>
          <c:showPercent val="0"/>
          <c:showBubbleSize val="0"/>
        </c:dLbls>
        <c:gapWidth val="219"/>
        <c:overlap val="-27"/>
        <c:axId val="379949968"/>
        <c:axId val="379948000"/>
      </c:barChart>
      <c:lineChart>
        <c:grouping val="standard"/>
        <c:varyColors val="0"/>
        <c:ser>
          <c:idx val="2"/>
          <c:order val="2"/>
          <c:tx>
            <c:strRef>
              <c:f>'II. Diagramma_pa_gadiem'!$D$28</c:f>
              <c:strCache>
                <c:ptCount val="1"/>
                <c:pt idx="0">
                  <c:v>Kopējā līgumcenu summa virs ES līgumcenu sliekšņa (EUR) bez PVN</c:v>
                </c:pt>
              </c:strCache>
            </c:strRef>
          </c:tx>
          <c:spPr>
            <a:ln w="28575" cap="rnd">
              <a:solidFill>
                <a:schemeClr val="accent3"/>
              </a:solidFill>
              <a:round/>
            </a:ln>
            <a:effectLst/>
          </c:spPr>
          <c:marker>
            <c:symbol val="none"/>
          </c:marker>
          <c:dLbls>
            <c:dLbl>
              <c:idx val="0"/>
              <c:layout>
                <c:manualLayout>
                  <c:x val="-6.5514895546095839E-2"/>
                  <c:y val="-8.7814084841037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13-408E-A454-7F27AE0CC8C1}"/>
                </c:ext>
              </c:extLst>
            </c:dLbl>
            <c:dLbl>
              <c:idx val="1"/>
              <c:layout>
                <c:manualLayout>
                  <c:x val="-0.11612903225806455"/>
                  <c:y val="-0.11111111111111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13-408E-A454-7F27AE0CC8C1}"/>
                </c:ext>
              </c:extLst>
            </c:dLbl>
            <c:dLbl>
              <c:idx val="2"/>
              <c:layout>
                <c:manualLayout>
                  <c:x val="-6.1150837903752975E-2"/>
                  <c:y val="-0.173485963125245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13-408E-A454-7F27AE0CC8C1}"/>
                </c:ext>
              </c:extLst>
            </c:dLbl>
            <c:dLbl>
              <c:idx val="3"/>
              <c:layout>
                <c:manualLayout>
                  <c:x val="-0.18597078506547945"/>
                  <c:y val="4.6638533632987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013-408E-A454-7F27AE0CC8C1}"/>
                </c:ext>
              </c:extLst>
            </c:dLbl>
            <c:dLbl>
              <c:idx val="4"/>
              <c:layout>
                <c:manualLayout>
                  <c:x val="1.3961605584642234E-2"/>
                  <c:y val="-3.0116358658453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BE-48FC-89DE-B869394F03A2}"/>
                </c:ext>
              </c:extLst>
            </c:dLbl>
            <c:dLbl>
              <c:idx val="6"/>
              <c:layout>
                <c:manualLayout>
                  <c:x val="-3.4904013961605584E-2"/>
                  <c:y val="-4.65434633812457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74-4785-B530-8851218615AE}"/>
                </c:ext>
              </c:extLst>
            </c:dLbl>
            <c:dLbl>
              <c:idx val="7"/>
              <c:layout>
                <c:manualLayout>
                  <c:x val="-3.6450844834811057E-2"/>
                  <c:y val="0.125941136208076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76-4248-A987-DB3804899A68}"/>
                </c:ext>
              </c:extLst>
            </c:dLbl>
            <c:dLbl>
              <c:idx val="8"/>
              <c:layout>
                <c:manualLayout>
                  <c:x val="-5.206881283106745E-2"/>
                  <c:y val="-7.66598220396988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9E-4DEE-BF8D-C407450D0FD3}"/>
                </c:ext>
              </c:extLst>
            </c:dLbl>
            <c:dLbl>
              <c:idx val="9"/>
              <c:layout>
                <c:manualLayout>
                  <c:x val="-4.0911210081553136E-2"/>
                  <c:y val="-9.03490759753593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92-4A44-ABA6-E20DF70689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Diagramma_pa_gadiem'!$A$29:$A$38</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'II. Diagramma_pa_gadiem'!$D$29:$D$38</c:f>
              <c:numCache>
                <c:formatCode>#,##0</c:formatCode>
                <c:ptCount val="10"/>
                <c:pt idx="0">
                  <c:v>1210000</c:v>
                </c:pt>
                <c:pt idx="1">
                  <c:v>2667933</c:v>
                </c:pt>
                <c:pt idx="2">
                  <c:v>6305295</c:v>
                </c:pt>
                <c:pt idx="3">
                  <c:v>90414446</c:v>
                </c:pt>
                <c:pt idx="4">
                  <c:v>10843914</c:v>
                </c:pt>
                <c:pt idx="5">
                  <c:v>25855926</c:v>
                </c:pt>
                <c:pt idx="6">
                  <c:v>82393880</c:v>
                </c:pt>
                <c:pt idx="7">
                  <c:v>32746854</c:v>
                </c:pt>
                <c:pt idx="8">
                  <c:v>90023803</c:v>
                </c:pt>
                <c:pt idx="9">
                  <c:v>72945094</c:v>
                </c:pt>
              </c:numCache>
            </c:numRef>
          </c:val>
          <c:smooth val="0"/>
          <c:extLst>
            <c:ext xmlns:c16="http://schemas.microsoft.com/office/drawing/2014/chart" uri="{C3380CC4-5D6E-409C-BE32-E72D297353CC}">
              <c16:uniqueId val="{00000002-8013-408E-A454-7F27AE0CC8C1}"/>
            </c:ext>
          </c:extLst>
        </c:ser>
        <c:ser>
          <c:idx val="3"/>
          <c:order val="3"/>
          <c:tx>
            <c:strRef>
              <c:f>'II. Diagramma_pa_gadiem'!$E$28</c:f>
              <c:strCache>
                <c:ptCount val="1"/>
                <c:pt idx="0">
                  <c:v>Kopējā līgumcenu summa zem ES līgumcenu sliekšņa (EUR) bez PVN</c:v>
                </c:pt>
              </c:strCache>
            </c:strRef>
          </c:tx>
          <c:spPr>
            <a:ln w="28575" cap="rnd">
              <a:solidFill>
                <a:schemeClr val="accent4"/>
              </a:solidFill>
              <a:round/>
            </a:ln>
            <a:effectLst/>
          </c:spPr>
          <c:marker>
            <c:symbol val="none"/>
          </c:marker>
          <c:dLbls>
            <c:dLbl>
              <c:idx val="0"/>
              <c:layout>
                <c:manualLayout>
                  <c:x val="-1.0752688172043012E-2"/>
                  <c:y val="-0.163580246913580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13-408E-A454-7F27AE0CC8C1}"/>
                </c:ext>
              </c:extLst>
            </c:dLbl>
            <c:dLbl>
              <c:idx val="1"/>
              <c:layout>
                <c:manualLayout>
                  <c:x val="-2.5033781772042891E-3"/>
                  <c:y val="-0.127988272513163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13-408E-A454-7F27AE0CC8C1}"/>
                </c:ext>
              </c:extLst>
            </c:dLbl>
            <c:dLbl>
              <c:idx val="2"/>
              <c:layout>
                <c:manualLayout>
                  <c:x val="3.870967741935484E-2"/>
                  <c:y val="-9.2592592592592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13-408E-A454-7F27AE0CC8C1}"/>
                </c:ext>
              </c:extLst>
            </c:dLbl>
            <c:dLbl>
              <c:idx val="3"/>
              <c:layout>
                <c:manualLayout>
                  <c:x val="-0.21693403507807596"/>
                  <c:y val="6.02068478606496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13-408E-A454-7F27AE0CC8C1}"/>
                </c:ext>
              </c:extLst>
            </c:dLbl>
            <c:dLbl>
              <c:idx val="5"/>
              <c:layout>
                <c:manualLayout>
                  <c:x val="2.2315205499028906E-2"/>
                  <c:y val="-2.46406570841889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92-4A44-ABA6-E20DF7068943}"/>
                </c:ext>
              </c:extLst>
            </c:dLbl>
            <c:dLbl>
              <c:idx val="6"/>
              <c:layout>
                <c:manualLayout>
                  <c:x val="-1.8615474112856311E-2"/>
                  <c:y val="-3.55920602327173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74-4785-B530-8851218615AE}"/>
                </c:ext>
              </c:extLst>
            </c:dLbl>
            <c:dLbl>
              <c:idx val="7"/>
              <c:layout>
                <c:manualLayout>
                  <c:x val="9.1214134603445334E-3"/>
                  <c:y val="-0.104038329911019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76-4248-A987-DB3804899A68}"/>
                </c:ext>
              </c:extLst>
            </c:dLbl>
            <c:dLbl>
              <c:idx val="8"/>
              <c:layout>
                <c:manualLayout>
                  <c:x val="-7.066481741359168E-2"/>
                  <c:y val="-0.112251882272416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9E-4DEE-BF8D-C407450D0FD3}"/>
                </c:ext>
              </c:extLst>
            </c:dLbl>
            <c:dLbl>
              <c:idx val="9"/>
              <c:layout>
                <c:manualLayout>
                  <c:x val="-4.2770810539805408E-2"/>
                  <c:y val="-6.0232717316906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92-4A44-ABA6-E20DF70689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Diagramma_pa_gadiem'!$A$29:$A$38</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'II. Diagramma_pa_gadiem'!$E$29:$E$38</c:f>
              <c:numCache>
                <c:formatCode>#,##0</c:formatCode>
                <c:ptCount val="10"/>
                <c:pt idx="0">
                  <c:v>312514</c:v>
                </c:pt>
                <c:pt idx="1">
                  <c:v>2535151</c:v>
                </c:pt>
                <c:pt idx="2">
                  <c:v>1178053</c:v>
                </c:pt>
                <c:pt idx="3">
                  <c:v>94497858</c:v>
                </c:pt>
                <c:pt idx="4">
                  <c:v>4462459</c:v>
                </c:pt>
                <c:pt idx="5">
                  <c:v>2763481</c:v>
                </c:pt>
                <c:pt idx="6">
                  <c:v>12830247</c:v>
                </c:pt>
                <c:pt idx="7">
                  <c:v>22815310</c:v>
                </c:pt>
                <c:pt idx="8">
                  <c:v>13753907</c:v>
                </c:pt>
                <c:pt idx="9">
                  <c:v>7115295</c:v>
                </c:pt>
              </c:numCache>
            </c:numRef>
          </c:val>
          <c:smooth val="0"/>
          <c:extLst>
            <c:ext xmlns:c16="http://schemas.microsoft.com/office/drawing/2014/chart" uri="{C3380CC4-5D6E-409C-BE32-E72D297353CC}">
              <c16:uniqueId val="{00000003-8013-408E-A454-7F27AE0CC8C1}"/>
            </c:ext>
          </c:extLst>
        </c:ser>
        <c:dLbls>
          <c:showLegendKey val="0"/>
          <c:showVal val="1"/>
          <c:showCatName val="0"/>
          <c:showSerName val="0"/>
          <c:showPercent val="0"/>
          <c:showBubbleSize val="0"/>
        </c:dLbls>
        <c:marker val="1"/>
        <c:smooth val="0"/>
        <c:axId val="378574544"/>
        <c:axId val="378577168"/>
      </c:lineChart>
      <c:catAx>
        <c:axId val="37857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7168"/>
        <c:crosses val="autoZero"/>
        <c:auto val="1"/>
        <c:lblAlgn val="ctr"/>
        <c:lblOffset val="100"/>
        <c:noMultiLvlLbl val="0"/>
      </c:catAx>
      <c:valAx>
        <c:axId val="378577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4544"/>
        <c:crosses val="autoZero"/>
        <c:crossBetween val="between"/>
      </c:valAx>
      <c:valAx>
        <c:axId val="379948000"/>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9949968"/>
        <c:crosses val="max"/>
        <c:crossBetween val="between"/>
      </c:valAx>
      <c:catAx>
        <c:axId val="379949968"/>
        <c:scaling>
          <c:orientation val="minMax"/>
        </c:scaling>
        <c:delete val="1"/>
        <c:axPos val="b"/>
        <c:numFmt formatCode="General" sourceLinked="1"/>
        <c:majorTickMark val="out"/>
        <c:minorTickMark val="none"/>
        <c:tickLblPos val="nextTo"/>
        <c:crossAx val="3799480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a:t>Sarunu procedūru, nepublicējot paziņojumu par līgumu, skaita un līgumcenas procentuālais sadalījums pēc piemērotā likuma panta</a:t>
            </a:r>
            <a:r>
              <a:rPr lang="lv-LV" sz="1200" b="1" baseline="0"/>
              <a:t> pa gadiem</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7383143613534049"/>
          <c:y val="0.12189824951009115"/>
          <c:w val="0.82616856103124381"/>
          <c:h val="0.80977671106129689"/>
        </c:manualLayout>
      </c:layout>
      <c:barChart>
        <c:barDir val="bar"/>
        <c:grouping val="stacked"/>
        <c:varyColors val="0"/>
        <c:ser>
          <c:idx val="3"/>
          <c:order val="3"/>
          <c:tx>
            <c:strRef>
              <c:f>X.Procedūru_dinamika!$A$72</c:f>
              <c:strCache>
                <c:ptCount val="1"/>
                <c:pt idx="0">
                  <c:v>2015.gads</c:v>
                </c:pt>
              </c:strCache>
            </c:strRef>
          </c:tx>
          <c:spPr>
            <a:solidFill>
              <a:schemeClr val="accent4"/>
            </a:solidFill>
            <a:ln>
              <a:noFill/>
            </a:ln>
            <a:effectLst/>
          </c:spPr>
          <c:invertIfNegative val="0"/>
          <c:dLbls>
            <c:dLbl>
              <c:idx val="7"/>
              <c:layout>
                <c:manualLayout>
                  <c:x val="6.6777957420025933E-3"/>
                  <c:y val="-4.682275069527483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73-4E67-A218-37A45C4647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X.Procedūru_dinamika!$B$67:$I$68</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X.Procedūru_dinamika!$B$72:$I$72</c:f>
              <c:numCache>
                <c:formatCode>0.0%</c:formatCode>
                <c:ptCount val="8"/>
                <c:pt idx="2">
                  <c:v>0.7142857142857143</c:v>
                </c:pt>
                <c:pt idx="3">
                  <c:v>0.88411203269838545</c:v>
                </c:pt>
                <c:pt idx="4">
                  <c:v>0.14285714285714285</c:v>
                </c:pt>
                <c:pt idx="5">
                  <c:v>3.6823527742513872E-2</c:v>
                </c:pt>
                <c:pt idx="6">
                  <c:v>0.14285714285714285</c:v>
                </c:pt>
                <c:pt idx="7">
                  <c:v>7.9064439559100641E-2</c:v>
                </c:pt>
              </c:numCache>
            </c:numRef>
          </c:val>
          <c:extLst>
            <c:ext xmlns:c16="http://schemas.microsoft.com/office/drawing/2014/chart" uri="{C3380CC4-5D6E-409C-BE32-E72D297353CC}">
              <c16:uniqueId val="{00000003-4E15-47D6-8353-B3757EBD53CB}"/>
            </c:ext>
          </c:extLst>
        </c:ser>
        <c:ser>
          <c:idx val="4"/>
          <c:order val="4"/>
          <c:tx>
            <c:strRef>
              <c:f>X.Procedūru_dinamika!$A$73</c:f>
              <c:strCache>
                <c:ptCount val="1"/>
                <c:pt idx="0">
                  <c:v>2016.gads</c:v>
                </c:pt>
              </c:strCache>
            </c:strRef>
          </c:tx>
          <c:spPr>
            <a:solidFill>
              <a:schemeClr val="accent5"/>
            </a:solidFill>
            <a:ln>
              <a:noFill/>
            </a:ln>
            <a:effectLst/>
          </c:spPr>
          <c:invertIfNegative val="0"/>
          <c:dLbls>
            <c:dLbl>
              <c:idx val="7"/>
              <c:layout>
                <c:manualLayout>
                  <c:x val="2.3372285097009005E-2"/>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lv-LV"/>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73-4E67-A218-37A45C4647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X.Procedūru_dinamika!$B$67:$I$68</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X.Procedūru_dinamika!$B$73:$I$73</c:f>
              <c:numCache>
                <c:formatCode>0.0%</c:formatCode>
                <c:ptCount val="8"/>
                <c:pt idx="2">
                  <c:v>0.5</c:v>
                </c:pt>
                <c:pt idx="3">
                  <c:v>0.80067335404914552</c:v>
                </c:pt>
                <c:pt idx="4">
                  <c:v>0.33333333333333331</c:v>
                </c:pt>
                <c:pt idx="5">
                  <c:v>0.16554967882317262</c:v>
                </c:pt>
                <c:pt idx="6">
                  <c:v>0.16666666666666666</c:v>
                </c:pt>
                <c:pt idx="7">
                  <c:v>3.3776967127681835E-2</c:v>
                </c:pt>
              </c:numCache>
            </c:numRef>
          </c:val>
          <c:extLst>
            <c:ext xmlns:c16="http://schemas.microsoft.com/office/drawing/2014/chart" uri="{C3380CC4-5D6E-409C-BE32-E72D297353CC}">
              <c16:uniqueId val="{00000004-4E15-47D6-8353-B3757EBD53CB}"/>
            </c:ext>
          </c:extLst>
        </c:ser>
        <c:ser>
          <c:idx val="5"/>
          <c:order val="5"/>
          <c:tx>
            <c:strRef>
              <c:f>X.Procedūru_dinamika!$A$74</c:f>
              <c:strCache>
                <c:ptCount val="1"/>
                <c:pt idx="0">
                  <c:v>2017.gads</c:v>
                </c:pt>
              </c:strCache>
            </c:strRef>
          </c:tx>
          <c:spPr>
            <a:solidFill>
              <a:schemeClr val="accent6"/>
            </a:solidFill>
            <a:ln>
              <a:noFill/>
            </a:ln>
            <a:effectLst/>
          </c:spPr>
          <c:invertIfNegative val="0"/>
          <c:dLbls>
            <c:dLbl>
              <c:idx val="1"/>
              <c:layout>
                <c:manualLayout>
                  <c:x val="1.669448935500643E-2"/>
                  <c:y val="-4.013378631023557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lv-LV"/>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73-4E67-A218-37A45C4647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X.Procedūru_dinamika!$B$67:$I$68</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X.Procedūru_dinamika!$B$74:$I$74</c:f>
              <c:numCache>
                <c:formatCode>0.0%</c:formatCode>
                <c:ptCount val="8"/>
                <c:pt idx="0">
                  <c:v>0.125</c:v>
                </c:pt>
                <c:pt idx="1">
                  <c:v>1.9106823508954051E-2</c:v>
                </c:pt>
                <c:pt idx="2">
                  <c:v>0.375</c:v>
                </c:pt>
                <c:pt idx="3">
                  <c:v>0.16054817091245493</c:v>
                </c:pt>
                <c:pt idx="4">
                  <c:v>0.5</c:v>
                </c:pt>
                <c:pt idx="5">
                  <c:v>0.82034500557859102</c:v>
                </c:pt>
              </c:numCache>
            </c:numRef>
          </c:val>
          <c:extLst>
            <c:ext xmlns:c16="http://schemas.microsoft.com/office/drawing/2014/chart" uri="{C3380CC4-5D6E-409C-BE32-E72D297353CC}">
              <c16:uniqueId val="{00000005-4E15-47D6-8353-B3757EBD53CB}"/>
            </c:ext>
          </c:extLst>
        </c:ser>
        <c:ser>
          <c:idx val="6"/>
          <c:order val="6"/>
          <c:tx>
            <c:strRef>
              <c:f>X.Procedūru_dinamika!$A$75</c:f>
              <c:strCache>
                <c:ptCount val="1"/>
                <c:pt idx="0">
                  <c:v>2018.gads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X.Procedūru_dinamika!$B$67:$I$68</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X.Procedūru_dinamika!$B$75:$I$75</c:f>
              <c:numCache>
                <c:formatCode>0.0%</c:formatCode>
                <c:ptCount val="8"/>
                <c:pt idx="0">
                  <c:v>0.2</c:v>
                </c:pt>
                <c:pt idx="1">
                  <c:v>0.46556461449832987</c:v>
                </c:pt>
                <c:pt idx="2">
                  <c:v>0.6</c:v>
                </c:pt>
                <c:pt idx="3">
                  <c:v>0.51787379842465453</c:v>
                </c:pt>
                <c:pt idx="4">
                  <c:v>0.2</c:v>
                </c:pt>
                <c:pt idx="5">
                  <c:v>1.6561587077015685E-2</c:v>
                </c:pt>
              </c:numCache>
            </c:numRef>
          </c:val>
          <c:extLst>
            <c:ext xmlns:c16="http://schemas.microsoft.com/office/drawing/2014/chart" uri="{C3380CC4-5D6E-409C-BE32-E72D297353CC}">
              <c16:uniqueId val="{00000006-4E15-47D6-8353-B3757EBD53CB}"/>
            </c:ext>
          </c:extLst>
        </c:ser>
        <c:ser>
          <c:idx val="7"/>
          <c:order val="7"/>
          <c:tx>
            <c:strRef>
              <c:f>X.Procedūru_dinamika!$A$76</c:f>
              <c:strCache>
                <c:ptCount val="1"/>
                <c:pt idx="0">
                  <c:v>2019.gads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X.Procedūru_dinamika!$B$67:$I$68</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X.Procedūru_dinamika!$B$76:$I$76</c:f>
              <c:numCache>
                <c:formatCode>0.0%</c:formatCode>
                <c:ptCount val="8"/>
                <c:pt idx="2">
                  <c:v>1</c:v>
                </c:pt>
                <c:pt idx="3">
                  <c:v>1</c:v>
                </c:pt>
              </c:numCache>
            </c:numRef>
          </c:val>
          <c:extLst>
            <c:ext xmlns:c16="http://schemas.microsoft.com/office/drawing/2014/chart" uri="{C3380CC4-5D6E-409C-BE32-E72D297353CC}">
              <c16:uniqueId val="{00000007-4E15-47D6-8353-B3757EBD53CB}"/>
            </c:ext>
          </c:extLst>
        </c:ser>
        <c:ser>
          <c:idx val="8"/>
          <c:order val="8"/>
          <c:tx>
            <c:strRef>
              <c:f>X.Procedūru_dinamika!$A$77</c:f>
              <c:strCache>
                <c:ptCount val="1"/>
                <c:pt idx="0">
                  <c:v>2020.gads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X.Procedūru_dinamika!$B$67:$I$68</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X.Procedūru_dinamika!$B$77:$I$77</c:f>
              <c:numCache>
                <c:formatCode>0.0%</c:formatCode>
                <c:ptCount val="8"/>
                <c:pt idx="2">
                  <c:v>0.8</c:v>
                </c:pt>
                <c:pt idx="3">
                  <c:v>0.55400000000000005</c:v>
                </c:pt>
                <c:pt idx="4">
                  <c:v>0.2</c:v>
                </c:pt>
                <c:pt idx="5">
                  <c:v>0.44600000000000001</c:v>
                </c:pt>
              </c:numCache>
            </c:numRef>
          </c:val>
          <c:extLst>
            <c:ext xmlns:c16="http://schemas.microsoft.com/office/drawing/2014/chart" uri="{C3380CC4-5D6E-409C-BE32-E72D297353CC}">
              <c16:uniqueId val="{00000008-4E15-47D6-8353-B3757EBD53CB}"/>
            </c:ext>
          </c:extLst>
        </c:ser>
        <c:ser>
          <c:idx val="9"/>
          <c:order val="9"/>
          <c:tx>
            <c:strRef>
              <c:f>X.Procedūru_dinamika!$A$78</c:f>
              <c:strCache>
                <c:ptCount val="1"/>
                <c:pt idx="0">
                  <c:v>2021.gads</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X.Procedūru_dinamika!$B$67:$I$68</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X.Procedūru_dinamika!$B$78:$I$78</c:f>
              <c:numCache>
                <c:formatCode>0.0%</c:formatCode>
                <c:ptCount val="8"/>
                <c:pt idx="2">
                  <c:v>0.71399999999999997</c:v>
                </c:pt>
                <c:pt idx="3">
                  <c:v>0.754</c:v>
                </c:pt>
                <c:pt idx="4">
                  <c:v>0.28599999999999998</c:v>
                </c:pt>
                <c:pt idx="5">
                  <c:v>0.246</c:v>
                </c:pt>
              </c:numCache>
            </c:numRef>
          </c:val>
          <c:extLst>
            <c:ext xmlns:c16="http://schemas.microsoft.com/office/drawing/2014/chart" uri="{C3380CC4-5D6E-409C-BE32-E72D297353CC}">
              <c16:uniqueId val="{00000009-4E15-47D6-8353-B3757EBD53CB}"/>
            </c:ext>
          </c:extLst>
        </c:ser>
        <c:dLbls>
          <c:dLblPos val="ctr"/>
          <c:showLegendKey val="0"/>
          <c:showVal val="1"/>
          <c:showCatName val="0"/>
          <c:showSerName val="0"/>
          <c:showPercent val="0"/>
          <c:showBubbleSize val="0"/>
        </c:dLbls>
        <c:gapWidth val="150"/>
        <c:overlap val="100"/>
        <c:axId val="835441168"/>
        <c:axId val="835464464"/>
        <c:extLst>
          <c:ext xmlns:c15="http://schemas.microsoft.com/office/drawing/2012/chart" uri="{02D57815-91ED-43cb-92C2-25804820EDAC}">
            <c15:filteredBarSeries>
              <c15:ser>
                <c:idx val="0"/>
                <c:order val="0"/>
                <c:tx>
                  <c:strRef>
                    <c:extLst>
                      <c:ext uri="{02D57815-91ED-43cb-92C2-25804820EDAC}">
                        <c15:formulaRef>
                          <c15:sqref>X.Procedūru_dinamika!$A$69</c15:sqref>
                        </c15:formulaRef>
                      </c:ext>
                    </c:extLst>
                    <c:strCache>
                      <c:ptCount val="1"/>
                      <c:pt idx="0">
                        <c:v>2012.gads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X.Procedūru_dinamika!$B$67:$I$68</c15:sqref>
                        </c15:formulaRef>
                      </c:ext>
                    </c:extLst>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extLst>
                      <c:ext uri="{02D57815-91ED-43cb-92C2-25804820EDAC}">
                        <c15:formulaRef>
                          <c15:sqref>X.Procedūru_dinamika!$B$69:$I$69</c15:sqref>
                        </c15:formulaRef>
                      </c:ext>
                    </c:extLst>
                    <c:numCache>
                      <c:formatCode>0.0%</c:formatCode>
                      <c:ptCount val="8"/>
                    </c:numCache>
                  </c:numRef>
                </c:val>
                <c:extLst>
                  <c:ext xmlns:c16="http://schemas.microsoft.com/office/drawing/2014/chart" uri="{C3380CC4-5D6E-409C-BE32-E72D297353CC}">
                    <c16:uniqueId val="{00000000-4E15-47D6-8353-B3757EBD53CB}"/>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X.Procedūru_dinamika!$A$70</c15:sqref>
                        </c15:formulaRef>
                      </c:ext>
                    </c:extLst>
                    <c:strCache>
                      <c:ptCount val="1"/>
                      <c:pt idx="0">
                        <c:v>2013.gads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X.Procedūru_dinamika!$B$67:$I$68</c15:sqref>
                        </c15:formulaRef>
                      </c:ext>
                    </c:extLst>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extLst xmlns:c15="http://schemas.microsoft.com/office/drawing/2012/chart">
                      <c:ext xmlns:c15="http://schemas.microsoft.com/office/drawing/2012/chart" uri="{02D57815-91ED-43cb-92C2-25804820EDAC}">
                        <c15:formulaRef>
                          <c15:sqref>X.Procedūru_dinamika!$B$70:$I$70</c15:sqref>
                        </c15:formulaRef>
                      </c:ext>
                    </c:extLst>
                    <c:numCache>
                      <c:formatCode>0.0%</c:formatCode>
                      <c:ptCount val="8"/>
                      <c:pt idx="2">
                        <c:v>1</c:v>
                      </c:pt>
                      <c:pt idx="3">
                        <c:v>1</c:v>
                      </c:pt>
                    </c:numCache>
                  </c:numRef>
                </c:val>
                <c:extLst xmlns:c15="http://schemas.microsoft.com/office/drawing/2012/chart">
                  <c:ext xmlns:c16="http://schemas.microsoft.com/office/drawing/2014/chart" uri="{C3380CC4-5D6E-409C-BE32-E72D297353CC}">
                    <c16:uniqueId val="{00000001-4E15-47D6-8353-B3757EBD53CB}"/>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X.Procedūru_dinamika!$A$71</c15:sqref>
                        </c15:formulaRef>
                      </c:ext>
                    </c:extLst>
                    <c:strCache>
                      <c:ptCount val="1"/>
                      <c:pt idx="0">
                        <c:v>2014.gads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X.Procedūru_dinamika!$B$67:$I$68</c15:sqref>
                        </c15:formulaRef>
                      </c:ext>
                    </c:extLst>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extLst xmlns:c15="http://schemas.microsoft.com/office/drawing/2012/chart">
                      <c:ext xmlns:c15="http://schemas.microsoft.com/office/drawing/2012/chart" uri="{02D57815-91ED-43cb-92C2-25804820EDAC}">
                        <c15:formulaRef>
                          <c15:sqref>X.Procedūru_dinamika!$B$71:$I$71</c15:sqref>
                        </c15:formulaRef>
                      </c:ext>
                    </c:extLst>
                    <c:numCache>
                      <c:formatCode>0.0%</c:formatCode>
                      <c:ptCount val="8"/>
                      <c:pt idx="2">
                        <c:v>1</c:v>
                      </c:pt>
                      <c:pt idx="3">
                        <c:v>1</c:v>
                      </c:pt>
                    </c:numCache>
                  </c:numRef>
                </c:val>
                <c:extLst xmlns:c15="http://schemas.microsoft.com/office/drawing/2012/chart">
                  <c:ext xmlns:c16="http://schemas.microsoft.com/office/drawing/2014/chart" uri="{C3380CC4-5D6E-409C-BE32-E72D297353CC}">
                    <c16:uniqueId val="{00000002-4E15-47D6-8353-B3757EBD53CB}"/>
                  </c:ext>
                </c:extLst>
              </c15:ser>
            </c15:filteredBarSeries>
          </c:ext>
        </c:extLst>
      </c:barChart>
      <c:catAx>
        <c:axId val="8354411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835464464"/>
        <c:crosses val="autoZero"/>
        <c:auto val="1"/>
        <c:lblAlgn val="ctr"/>
        <c:lblOffset val="100"/>
        <c:noMultiLvlLbl val="0"/>
      </c:catAx>
      <c:valAx>
        <c:axId val="835464464"/>
        <c:scaling>
          <c:orientation val="minMax"/>
        </c:scaling>
        <c:delete val="1"/>
        <c:axPos val="b"/>
        <c:majorGridlines>
          <c:spPr>
            <a:ln w="0" cap="flat" cmpd="sng" algn="ctr">
              <a:solidFill>
                <a:schemeClr val="bg1">
                  <a:lumMod val="85000"/>
                </a:schemeClr>
              </a:solidFill>
              <a:round/>
            </a:ln>
            <a:effectLst/>
          </c:spPr>
        </c:majorGridlines>
        <c:numFmt formatCode="0.0%" sourceLinked="1"/>
        <c:majorTickMark val="none"/>
        <c:minorTickMark val="none"/>
        <c:tickLblPos val="nextTo"/>
        <c:crossAx val="835441168"/>
        <c:crosses val="autoZero"/>
        <c:crossBetween val="between"/>
      </c:valAx>
      <c:spPr>
        <a:noFill/>
        <a:ln>
          <a:solidFill>
            <a:schemeClr val="bg1"/>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sz="1200"/>
              <a:t>Aizsardzības un drošības jomas virs ES līgumcenu sliekšņa 202</a:t>
            </a:r>
            <a:r>
              <a:rPr lang="en-US" sz="1200"/>
              <a:t>1</a:t>
            </a:r>
            <a:r>
              <a:rPr lang="lv-LV" sz="1200"/>
              <a:t>.gadā</a:t>
            </a:r>
            <a:r>
              <a:rPr lang="lv-LV" sz="1200" baseline="0"/>
              <a:t> noslēgto līgumcenu sadalījums (%) pēc CPV klasifikatora</a:t>
            </a:r>
            <a:endParaRPr lang="lv-LV"/>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34945943757030373"/>
          <c:y val="0.28326433889623653"/>
          <c:w val="0.38641433820772408"/>
          <c:h val="0.5890463550067867"/>
        </c:manualLayout>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A1B7-421B-912A-439CC6DFC298}"/>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1B7-421B-912A-439CC6DFC298}"/>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57F0-4E21-B5C8-FA7AF7CC0E03}"/>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A1B7-421B-912A-439CC6DFC298}"/>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57F0-4E21-B5C8-FA7AF7CC0E03}"/>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1B7-421B-912A-439CC6DFC298}"/>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6-A1B7-421B-912A-439CC6DFC298}"/>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E-FAB2-4A74-944E-8DFC35400934}"/>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FAB2-4A74-944E-8DFC35400934}"/>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CF25-41FE-AC7B-FF35F954EFD8}"/>
              </c:ext>
            </c:extLst>
          </c:dPt>
          <c:dPt>
            <c:idx val="10"/>
            <c:bubble3D val="0"/>
            <c:spPr>
              <a:solidFill>
                <a:schemeClr val="accent5">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5-755A-4BC3-BEB6-0E1790E5E240}"/>
              </c:ext>
            </c:extLst>
          </c:dPt>
          <c:dPt>
            <c:idx val="11"/>
            <c:bubble3D val="0"/>
            <c:spPr>
              <a:solidFill>
                <a:schemeClr val="accent6">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7-52E6-42B8-9F27-0C8559728987}"/>
              </c:ext>
            </c:extLst>
          </c:dPt>
          <c:dPt>
            <c:idx val="12"/>
            <c:bubble3D val="0"/>
            <c:spPr>
              <a:solidFill>
                <a:schemeClr val="accent1">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9-1AD2-40DC-B684-52E06A0540B4}"/>
              </c:ext>
            </c:extLst>
          </c:dPt>
          <c:dPt>
            <c:idx val="13"/>
            <c:bubble3D val="0"/>
            <c:spPr>
              <a:solidFill>
                <a:schemeClr val="accent2">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C-52E6-42B8-9F27-0C8559728987}"/>
              </c:ext>
            </c:extLst>
          </c:dPt>
          <c:dPt>
            <c:idx val="14"/>
            <c:bubble3D val="0"/>
            <c:spPr>
              <a:solidFill>
                <a:schemeClr val="accent3">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B-52E6-42B8-9F27-0C8559728987}"/>
              </c:ext>
            </c:extLst>
          </c:dPt>
          <c:dPt>
            <c:idx val="15"/>
            <c:bubble3D val="0"/>
            <c:spPr>
              <a:solidFill>
                <a:schemeClr val="accent4">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A-52E6-42B8-9F27-0C8559728987}"/>
              </c:ext>
            </c:extLst>
          </c:dPt>
          <c:dPt>
            <c:idx val="16"/>
            <c:bubble3D val="0"/>
            <c:spPr>
              <a:solidFill>
                <a:schemeClr val="accent5">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9-52E6-42B8-9F27-0C8559728987}"/>
              </c:ext>
            </c:extLst>
          </c:dPt>
          <c:dPt>
            <c:idx val="17"/>
            <c:bubble3D val="0"/>
            <c:spPr>
              <a:solidFill>
                <a:schemeClr val="accent6">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8-52E6-42B8-9F27-0C8559728987}"/>
              </c:ext>
            </c:extLst>
          </c:dPt>
          <c:dPt>
            <c:idx val="18"/>
            <c:bubble3D val="0"/>
            <c:spPr>
              <a:solidFill>
                <a:schemeClr val="accent1">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5-1AD2-40DC-B684-52E06A0540B4}"/>
              </c:ext>
            </c:extLst>
          </c:dPt>
          <c:dPt>
            <c:idx val="19"/>
            <c:bubble3D val="0"/>
            <c:spPr>
              <a:solidFill>
                <a:schemeClr val="accent2">
                  <a:lumMod val="8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27-1AD2-40DC-B684-52E06A0540B4}"/>
              </c:ext>
            </c:extLst>
          </c:dPt>
          <c:dLbls>
            <c:dLbl>
              <c:idx val="0"/>
              <c:layout>
                <c:manualLayout>
                  <c:x val="-0.12971060291149322"/>
                  <c:y val="-0.1617866425824397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1B7-421B-912A-439CC6DFC298}"/>
                </c:ext>
              </c:extLst>
            </c:dLbl>
            <c:dLbl>
              <c:idx val="1"/>
              <c:layout>
                <c:manualLayout>
                  <c:x val="3.6355212594963271E-2"/>
                  <c:y val="-8.4004596355988614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3805272120981993"/>
                      <c:h val="0.13139879324454395"/>
                    </c:manualLayout>
                  </c15:layout>
                </c:ext>
                <c:ext xmlns:c16="http://schemas.microsoft.com/office/drawing/2014/chart" uri="{C3380CC4-5D6E-409C-BE32-E72D297353CC}">
                  <c16:uniqueId val="{00000009-A1B7-421B-912A-439CC6DFC298}"/>
                </c:ext>
              </c:extLst>
            </c:dLbl>
            <c:dLbl>
              <c:idx val="2"/>
              <c:layout>
                <c:manualLayout>
                  <c:x val="0.1529260178663705"/>
                  <c:y val="-9.9718791209257168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3356783896284835"/>
                      <c:h val="9.4082149262844542E-2"/>
                    </c:manualLayout>
                  </c15:layout>
                </c:ext>
                <c:ext xmlns:c16="http://schemas.microsoft.com/office/drawing/2014/chart" uri="{C3380CC4-5D6E-409C-BE32-E72D297353CC}">
                  <c16:uniqueId val="{00000005-57F0-4E21-B5C8-FA7AF7CC0E03}"/>
                </c:ext>
              </c:extLst>
            </c:dLbl>
            <c:dLbl>
              <c:idx val="3"/>
              <c:layout>
                <c:manualLayout>
                  <c:x val="0.27175572491841937"/>
                  <c:y val="-0.1441688609602313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1B7-421B-912A-439CC6DFC298}"/>
                </c:ext>
              </c:extLst>
            </c:dLbl>
            <c:dLbl>
              <c:idx val="4"/>
              <c:layout>
                <c:manualLayout>
                  <c:x val="0.28666470863655441"/>
                  <c:y val="-7.1082390953150248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4458952028024336"/>
                      <c:h val="5.9617959709802028E-2"/>
                    </c:manualLayout>
                  </c15:layout>
                </c:ext>
                <c:ext xmlns:c16="http://schemas.microsoft.com/office/drawing/2014/chart" uri="{C3380CC4-5D6E-409C-BE32-E72D297353CC}">
                  <c16:uniqueId val="{00000009-57F0-4E21-B5C8-FA7AF7CC0E03}"/>
                </c:ext>
              </c:extLst>
            </c:dLbl>
            <c:dLbl>
              <c:idx val="5"/>
              <c:layout>
                <c:manualLayout>
                  <c:x val="0.15862894413404632"/>
                  <c:y val="1.9386106623586391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8118053513462584"/>
                      <c:h val="8.6164544456175607E-2"/>
                    </c:manualLayout>
                  </c15:layout>
                </c:ext>
                <c:ext xmlns:c16="http://schemas.microsoft.com/office/drawing/2014/chart" uri="{C3380CC4-5D6E-409C-BE32-E72D297353CC}">
                  <c16:uniqueId val="{00000005-A1B7-421B-912A-439CC6DFC298}"/>
                </c:ext>
              </c:extLst>
            </c:dLbl>
            <c:dLbl>
              <c:idx val="6"/>
              <c:layout>
                <c:manualLayout>
                  <c:x val="0.10244417116085727"/>
                  <c:y val="0.1098546042003231"/>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8575989887714228"/>
                      <c:h val="0.11271095959531714"/>
                    </c:manualLayout>
                  </c15:layout>
                </c:ext>
                <c:ext xmlns:c16="http://schemas.microsoft.com/office/drawing/2014/chart" uri="{C3380CC4-5D6E-409C-BE32-E72D297353CC}">
                  <c16:uniqueId val="{00000006-A1B7-421B-912A-439CC6DFC298}"/>
                </c:ext>
              </c:extLst>
            </c:dLbl>
            <c:dLbl>
              <c:idx val="7"/>
              <c:layout>
                <c:manualLayout>
                  <c:x val="6.8471605232579724E-2"/>
                  <c:y val="9.2622509423801833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0952328866264877"/>
                      <c:h val="9.1170841124665558E-2"/>
                    </c:manualLayout>
                  </c15:layout>
                </c:ext>
                <c:ext xmlns:c16="http://schemas.microsoft.com/office/drawing/2014/chart" uri="{C3380CC4-5D6E-409C-BE32-E72D297353CC}">
                  <c16:uniqueId val="{0000000E-FAB2-4A74-944E-8DFC35400934}"/>
                </c:ext>
              </c:extLst>
            </c:dLbl>
            <c:dLbl>
              <c:idx val="8"/>
              <c:layout>
                <c:manualLayout>
                  <c:x val="2.3531780755823333E-2"/>
                  <c:y val="5.815831987075920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FAB2-4A74-944E-8DFC35400934}"/>
                </c:ext>
              </c:extLst>
            </c:dLbl>
            <c:dLbl>
              <c:idx val="9"/>
              <c:layout>
                <c:manualLayout>
                  <c:x val="1.730189041502617E-2"/>
                  <c:y val="0.1249326871297791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CF25-41FE-AC7B-FF35F954EFD8}"/>
                </c:ext>
              </c:extLst>
            </c:dLbl>
            <c:dLbl>
              <c:idx val="10"/>
              <c:layout>
                <c:manualLayout>
                  <c:x val="3.2858861953880894E-2"/>
                  <c:y val="0.1012385568120623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755A-4BC3-BEB6-0E1790E5E240}"/>
                </c:ext>
              </c:extLst>
            </c:dLbl>
            <c:dLbl>
              <c:idx val="11"/>
              <c:layout>
                <c:manualLayout>
                  <c:x val="4.7889270899057007E-2"/>
                  <c:y val="9.033332061279092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7-52E6-42B8-9F27-0C8559728987}"/>
                </c:ext>
              </c:extLst>
            </c:dLbl>
            <c:dLbl>
              <c:idx val="12"/>
              <c:layout>
                <c:manualLayout>
                  <c:x val="2.0152305241430028E-2"/>
                  <c:y val="0.1209844003748319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1AD2-40DC-B684-52E06A0540B4}"/>
                </c:ext>
              </c:extLst>
            </c:dLbl>
            <c:dLbl>
              <c:idx val="13"/>
              <c:layout>
                <c:manualLayout>
                  <c:x val="-0.14503221827919843"/>
                  <c:y val="6.246634356488960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C-52E6-42B8-9F27-0C8559728987}"/>
                </c:ext>
              </c:extLst>
            </c:dLbl>
            <c:dLbl>
              <c:idx val="14"/>
              <c:layout>
                <c:manualLayout>
                  <c:x val="-0.30592733543268419"/>
                  <c:y val="4.092622509423801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B-52E6-42B8-9F27-0C8559728987}"/>
                </c:ext>
              </c:extLst>
            </c:dLbl>
            <c:dLbl>
              <c:idx val="15"/>
              <c:layout>
                <c:manualLayout>
                  <c:x val="-0.1042419068881739"/>
                  <c:y val="-3.877221324717285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A-52E6-42B8-9F27-0C8559728987}"/>
                </c:ext>
              </c:extLst>
            </c:dLbl>
            <c:dLbl>
              <c:idx val="16"/>
              <c:layout>
                <c:manualLayout>
                  <c:x val="-4.4189504006943298E-2"/>
                  <c:y val="2.154011847065158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52E6-42B8-9F27-0C8559728987}"/>
                </c:ext>
              </c:extLst>
            </c:dLbl>
            <c:dLbl>
              <c:idx val="17"/>
              <c:layout>
                <c:manualLayout>
                  <c:x val="-5.6653210265311914E-2"/>
                  <c:y val="-7.539041464728059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8-52E6-42B8-9F27-0C8559728987}"/>
                </c:ext>
              </c:extLst>
            </c:dLbl>
            <c:dLbl>
              <c:idx val="18"/>
              <c:layout>
                <c:manualLayout>
                  <c:x val="-0.16396642592231117"/>
                  <c:y val="-6.507348816335689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25-1AD2-40DC-B684-52E06A0540B4}"/>
                </c:ext>
              </c:extLst>
            </c:dLbl>
            <c:dLbl>
              <c:idx val="19"/>
              <c:layout>
                <c:manualLayout>
                  <c:x val="-0.27729596279409707"/>
                  <c:y val="-0.1052270404810061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27-1AD2-40DC-B684-52E06A0540B4}"/>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pattFill prst="pct75">
                    <a:fgClr>
                      <a:schemeClr val="dk1">
                        <a:lumMod val="75000"/>
                        <a:lumOff val="25000"/>
                      </a:schemeClr>
                    </a:fgClr>
                    <a:bgClr>
                      <a:schemeClr val="dk1">
                        <a:lumMod val="65000"/>
                        <a:lumOff val="35000"/>
                      </a:schemeClr>
                    </a:bgClr>
                  </a:pattFill>
                  <a:ln>
                    <a:noFill/>
                  </a:ln>
                </c15:spPr>
              </c:ext>
            </c:extLst>
          </c:dLbls>
          <c:cat>
            <c:multiLvlStrRef>
              <c:f>'XII. CPV_kodi_%_dinamika'!$A$36:$B$55</c:f>
              <c:multiLvlStrCache>
                <c:ptCount val="20"/>
                <c:lvl>
                  <c:pt idx="0">
                    <c:v>Elektromehāniskās iekārtas.</c:v>
                  </c:pt>
                  <c:pt idx="1">
                    <c:v>Drošības, ugunsdzēsības, policijas un aizsardzības aprīkojums.</c:v>
                  </c:pt>
                  <c:pt idx="2">
                    <c:v>Ieroči, munīcija un to daļas.</c:v>
                  </c:pt>
                  <c:pt idx="3">
                    <c:v>Pistoles.</c:v>
                  </c:pt>
                  <c:pt idx="4">
                    <c:v>Munīcija.</c:v>
                  </c:pt>
                  <c:pt idx="5">
                    <c:v>Šaujamieroču un munīcijas detaļas.</c:v>
                  </c:pt>
                  <c:pt idx="6">
                    <c:v>Izlūkošanas informācija, novērošana, mērķa noteikšana un izlūkošana.</c:v>
                  </c:pt>
                  <c:pt idx="7">
                    <c:v>Elektroniskās kaujasdarbības sistēmas un pretpasākumi.</c:v>
                  </c:pt>
                  <c:pt idx="8">
                    <c:v>Individuālais aprīkojums.</c:v>
                  </c:pt>
                  <c:pt idx="9">
                    <c:v>Teleskopiskie tēmēkļi.</c:v>
                  </c:pt>
                  <c:pt idx="10">
                    <c:v>Celtniecības darbi.</c:v>
                  </c:pt>
                  <c:pt idx="11">
                    <c:v>Militāro elektronisko sistēmu remonta un tehniskās apkopes pakalpojumi.</c:v>
                  </c:pt>
                  <c:pt idx="12">
                    <c:v>Ieroču sistēmu remonta un tehniskās apkopes pakalpojumi.</c:v>
                  </c:pt>
                  <c:pt idx="13">
                    <c:v>Transporta pakalpojumi (izņemot atkritumu transportu).</c:v>
                  </c:pt>
                  <c:pt idx="14">
                    <c:v>Autotransporta pakalpojumi.</c:v>
                  </c:pt>
                  <c:pt idx="15">
                    <c:v>Uzglabāšanas un noliktavu pakalpojumi.</c:v>
                  </c:pt>
                  <c:pt idx="16">
                    <c:v>Gaisa satiksmes kontroles pakalpojumi.</c:v>
                  </c:pt>
                  <c:pt idx="17">
                    <c:v>Arhitektūras, būvniecības, inženiertehniskie un pārbaudes pakalpojumi.</c:v>
                  </c:pt>
                  <c:pt idx="18">
                    <c:v>Mašīnbūves un elektrotehniskie pakalpojumi.</c:v>
                  </c:pt>
                  <c:pt idx="19">
                    <c:v>Uzkopšanas pakalpojumi.</c:v>
                  </c:pt>
                </c:lvl>
                <c:lvl>
                  <c:pt idx="0">
                    <c:v>31720000-9</c:v>
                  </c:pt>
                  <c:pt idx="1">
                    <c:v>35000000-4</c:v>
                  </c:pt>
                  <c:pt idx="2">
                    <c:v>35300000-7</c:v>
                  </c:pt>
                  <c:pt idx="3">
                    <c:v>35321100-1</c:v>
                  </c:pt>
                  <c:pt idx="4">
                    <c:v>35330000-6</c:v>
                  </c:pt>
                  <c:pt idx="5">
                    <c:v>35340000-9</c:v>
                  </c:pt>
                  <c:pt idx="6">
                    <c:v>35720000-7</c:v>
                  </c:pt>
                  <c:pt idx="7">
                    <c:v>35730000-0</c:v>
                  </c:pt>
                  <c:pt idx="8">
                    <c:v>35810000-5</c:v>
                  </c:pt>
                  <c:pt idx="9">
                    <c:v>38633000-1</c:v>
                  </c:pt>
                  <c:pt idx="10">
                    <c:v>45000000-7</c:v>
                  </c:pt>
                  <c:pt idx="11">
                    <c:v>50660000-9</c:v>
                  </c:pt>
                  <c:pt idx="12">
                    <c:v>50842000-9</c:v>
                  </c:pt>
                  <c:pt idx="13">
                    <c:v>60000000-8</c:v>
                  </c:pt>
                  <c:pt idx="14">
                    <c:v>60100000-9</c:v>
                  </c:pt>
                  <c:pt idx="15">
                    <c:v>63120000-6</c:v>
                  </c:pt>
                  <c:pt idx="16">
                    <c:v>63732000-9</c:v>
                  </c:pt>
                  <c:pt idx="17">
                    <c:v>71000000-8</c:v>
                  </c:pt>
                  <c:pt idx="18">
                    <c:v>71334000-8</c:v>
                  </c:pt>
                  <c:pt idx="19">
                    <c:v>90910000-9</c:v>
                  </c:pt>
                </c:lvl>
              </c:multiLvlStrCache>
            </c:multiLvlStrRef>
          </c:cat>
          <c:val>
            <c:numRef>
              <c:f>'XII. CPV_kodi_%_dinamika'!$G$36:$G$55</c:f>
              <c:numCache>
                <c:formatCode>0.0%</c:formatCode>
                <c:ptCount val="20"/>
                <c:pt idx="0">
                  <c:v>5.0000000000000001E-3</c:v>
                </c:pt>
                <c:pt idx="1">
                  <c:v>6.0000000000000001E-3</c:v>
                </c:pt>
                <c:pt idx="2">
                  <c:v>1.6E-2</c:v>
                </c:pt>
                <c:pt idx="3">
                  <c:v>8.0000000000000002E-3</c:v>
                </c:pt>
                <c:pt idx="4">
                  <c:v>0.01</c:v>
                </c:pt>
                <c:pt idx="5">
                  <c:v>2.5000000000000001E-2</c:v>
                </c:pt>
                <c:pt idx="6">
                  <c:v>4.1000000000000002E-2</c:v>
                </c:pt>
                <c:pt idx="7">
                  <c:v>0.106</c:v>
                </c:pt>
                <c:pt idx="8">
                  <c:v>1E-3</c:v>
                </c:pt>
                <c:pt idx="9">
                  <c:v>6.0000000000000001E-3</c:v>
                </c:pt>
                <c:pt idx="10">
                  <c:v>9.2999999999999999E-2</c:v>
                </c:pt>
                <c:pt idx="11">
                  <c:v>1.2999999999999999E-2</c:v>
                </c:pt>
                <c:pt idx="12">
                  <c:v>7.5999999999999998E-2</c:v>
                </c:pt>
                <c:pt idx="13">
                  <c:v>2.3E-2</c:v>
                </c:pt>
                <c:pt idx="14">
                  <c:v>0.01</c:v>
                </c:pt>
                <c:pt idx="15">
                  <c:v>0.33100000000000002</c:v>
                </c:pt>
                <c:pt idx="16">
                  <c:v>2.9000000000000001E-2</c:v>
                </c:pt>
                <c:pt idx="17">
                  <c:v>1.0999999999999999E-2</c:v>
                </c:pt>
                <c:pt idx="18">
                  <c:v>0.183</c:v>
                </c:pt>
                <c:pt idx="19">
                  <c:v>7.0000000000000001E-3</c:v>
                </c:pt>
              </c:numCache>
            </c:numRef>
          </c:val>
          <c:extLst>
            <c:ext xmlns:c16="http://schemas.microsoft.com/office/drawing/2014/chart" uri="{C3380CC4-5D6E-409C-BE32-E72D297353CC}">
              <c16:uniqueId val="{00000000-A1B7-421B-912A-439CC6DFC298}"/>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r>
              <a:rPr lang="lv-LV" sz="1200"/>
              <a:t>Aizsardzības un drošības jomas valsts sektora virs ES līgumcenu sliekšņa iepirkumu skaita sadalījums pēc iepirkumu veida no 2012.-202</a:t>
            </a:r>
            <a:r>
              <a:rPr lang="en-US" sz="1200"/>
              <a:t>1</a:t>
            </a:r>
            <a:r>
              <a:rPr lang="lv-LV" sz="1200"/>
              <a:t>.gadam</a:t>
            </a:r>
          </a:p>
        </c:rich>
      </c:tx>
      <c:layout>
        <c:manualLayout>
          <c:xMode val="edge"/>
          <c:yMode val="edge"/>
          <c:x val="0.11311094493076633"/>
          <c:y val="2.9090930231285669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lv-LV"/>
        </a:p>
      </c:txPr>
    </c:title>
    <c:autoTitleDeleted val="0"/>
    <c:plotArea>
      <c:layout>
        <c:manualLayout>
          <c:layoutTarget val="inner"/>
          <c:xMode val="edge"/>
          <c:yMode val="edge"/>
          <c:x val="0.10518842573338878"/>
          <c:y val="0.22170198057048382"/>
          <c:w val="0.87487480266084061"/>
          <c:h val="0.52215701106910117"/>
        </c:manualLayout>
      </c:layout>
      <c:barChart>
        <c:barDir val="col"/>
        <c:grouping val="clustered"/>
        <c:varyColors val="0"/>
        <c:ser>
          <c:idx val="0"/>
          <c:order val="0"/>
          <c:tx>
            <c:strRef>
              <c:f>'XII. CPV_kodi_%_dinamika'!$A$60</c:f>
              <c:strCache>
                <c:ptCount val="1"/>
                <c:pt idx="0">
                  <c:v>Būvdarbi</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'XII. CPV_kodi_%_dinamika'!$B$59:$K$59</c:f>
              <c:strCache>
                <c:ptCount val="10"/>
                <c:pt idx="0">
                  <c:v>2021.gads</c:v>
                </c:pt>
                <c:pt idx="1">
                  <c:v>2020.gads</c:v>
                </c:pt>
                <c:pt idx="2">
                  <c:v>2019.gads</c:v>
                </c:pt>
                <c:pt idx="3">
                  <c:v>2018.gads</c:v>
                </c:pt>
                <c:pt idx="4">
                  <c:v>2017.gads</c:v>
                </c:pt>
                <c:pt idx="5">
                  <c:v>2016.gads</c:v>
                </c:pt>
                <c:pt idx="6">
                  <c:v>2015.gads</c:v>
                </c:pt>
                <c:pt idx="7">
                  <c:v>2014.gads</c:v>
                </c:pt>
                <c:pt idx="8">
                  <c:v>2013.gads</c:v>
                </c:pt>
                <c:pt idx="9">
                  <c:v>2012.gads</c:v>
                </c:pt>
              </c:strCache>
            </c:strRef>
          </c:cat>
          <c:val>
            <c:numRef>
              <c:f>'XII. CPV_kodi_%_dinamika'!$B$60:$K$60</c:f>
              <c:numCache>
                <c:formatCode>General</c:formatCode>
                <c:ptCount val="10"/>
                <c:pt idx="0">
                  <c:v>1</c:v>
                </c:pt>
                <c:pt idx="2">
                  <c:v>1</c:v>
                </c:pt>
                <c:pt idx="3">
                  <c:v>1</c:v>
                </c:pt>
              </c:numCache>
            </c:numRef>
          </c:val>
          <c:extLst>
            <c:ext xmlns:c16="http://schemas.microsoft.com/office/drawing/2014/chart" uri="{C3380CC4-5D6E-409C-BE32-E72D297353CC}">
              <c16:uniqueId val="{00000000-77FA-4D72-8567-12E5FB12167F}"/>
            </c:ext>
          </c:extLst>
        </c:ser>
        <c:ser>
          <c:idx val="1"/>
          <c:order val="1"/>
          <c:tx>
            <c:strRef>
              <c:f>'XII. CPV_kodi_%_dinamika'!$A$61</c:f>
              <c:strCache>
                <c:ptCount val="1"/>
                <c:pt idx="0">
                  <c:v>Piegāde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'XII. CPV_kodi_%_dinamika'!$B$59:$K$59</c:f>
              <c:strCache>
                <c:ptCount val="10"/>
                <c:pt idx="0">
                  <c:v>2021.gads</c:v>
                </c:pt>
                <c:pt idx="1">
                  <c:v>2020.gads</c:v>
                </c:pt>
                <c:pt idx="2">
                  <c:v>2019.gads</c:v>
                </c:pt>
                <c:pt idx="3">
                  <c:v>2018.gads</c:v>
                </c:pt>
                <c:pt idx="4">
                  <c:v>2017.gads</c:v>
                </c:pt>
                <c:pt idx="5">
                  <c:v>2016.gads</c:v>
                </c:pt>
                <c:pt idx="6">
                  <c:v>2015.gads</c:v>
                </c:pt>
                <c:pt idx="7">
                  <c:v>2014.gads</c:v>
                </c:pt>
                <c:pt idx="8">
                  <c:v>2013.gads</c:v>
                </c:pt>
                <c:pt idx="9">
                  <c:v>2012.gads</c:v>
                </c:pt>
              </c:strCache>
            </c:strRef>
          </c:cat>
          <c:val>
            <c:numRef>
              <c:f>'XII. CPV_kodi_%_dinamika'!$B$61:$K$61</c:f>
              <c:numCache>
                <c:formatCode>General</c:formatCode>
                <c:ptCount val="10"/>
                <c:pt idx="0">
                  <c:v>12</c:v>
                </c:pt>
                <c:pt idx="1">
                  <c:v>8</c:v>
                </c:pt>
                <c:pt idx="2">
                  <c:v>6</c:v>
                </c:pt>
                <c:pt idx="3">
                  <c:v>6</c:v>
                </c:pt>
                <c:pt idx="4">
                  <c:v>16</c:v>
                </c:pt>
                <c:pt idx="5">
                  <c:v>6</c:v>
                </c:pt>
                <c:pt idx="6">
                  <c:v>7</c:v>
                </c:pt>
                <c:pt idx="7">
                  <c:v>2</c:v>
                </c:pt>
                <c:pt idx="8">
                  <c:v>1</c:v>
                </c:pt>
              </c:numCache>
            </c:numRef>
          </c:val>
          <c:extLst>
            <c:ext xmlns:c16="http://schemas.microsoft.com/office/drawing/2014/chart" uri="{C3380CC4-5D6E-409C-BE32-E72D297353CC}">
              <c16:uniqueId val="{00000001-77FA-4D72-8567-12E5FB12167F}"/>
            </c:ext>
          </c:extLst>
        </c:ser>
        <c:ser>
          <c:idx val="2"/>
          <c:order val="2"/>
          <c:tx>
            <c:strRef>
              <c:f>'XII. CPV_kodi_%_dinamika'!$A$62</c:f>
              <c:strCache>
                <c:ptCount val="1"/>
                <c:pt idx="0">
                  <c:v>Pakalpojumi</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'XII. CPV_kodi_%_dinamika'!$B$59:$K$59</c:f>
              <c:strCache>
                <c:ptCount val="10"/>
                <c:pt idx="0">
                  <c:v>2021.gads</c:v>
                </c:pt>
                <c:pt idx="1">
                  <c:v>2020.gads</c:v>
                </c:pt>
                <c:pt idx="2">
                  <c:v>2019.gads</c:v>
                </c:pt>
                <c:pt idx="3">
                  <c:v>2018.gads</c:v>
                </c:pt>
                <c:pt idx="4">
                  <c:v>2017.gads</c:v>
                </c:pt>
                <c:pt idx="5">
                  <c:v>2016.gads</c:v>
                </c:pt>
                <c:pt idx="6">
                  <c:v>2015.gads</c:v>
                </c:pt>
                <c:pt idx="7">
                  <c:v>2014.gads</c:v>
                </c:pt>
                <c:pt idx="8">
                  <c:v>2013.gads</c:v>
                </c:pt>
                <c:pt idx="9">
                  <c:v>2012.gads</c:v>
                </c:pt>
              </c:strCache>
            </c:strRef>
          </c:cat>
          <c:val>
            <c:numRef>
              <c:f>'XII. CPV_kodi_%_dinamika'!$B$62:$K$62</c:f>
              <c:numCache>
                <c:formatCode>General</c:formatCode>
                <c:ptCount val="10"/>
                <c:pt idx="0">
                  <c:v>9</c:v>
                </c:pt>
                <c:pt idx="1">
                  <c:v>4</c:v>
                </c:pt>
                <c:pt idx="2">
                  <c:v>4</c:v>
                </c:pt>
                <c:pt idx="3">
                  <c:v>3</c:v>
                </c:pt>
                <c:pt idx="4">
                  <c:v>2</c:v>
                </c:pt>
                <c:pt idx="5">
                  <c:v>2</c:v>
                </c:pt>
                <c:pt idx="6">
                  <c:v>4</c:v>
                </c:pt>
                <c:pt idx="7">
                  <c:v>2</c:v>
                </c:pt>
                <c:pt idx="8">
                  <c:v>1</c:v>
                </c:pt>
                <c:pt idx="9">
                  <c:v>1</c:v>
                </c:pt>
              </c:numCache>
            </c:numRef>
          </c:val>
          <c:extLst>
            <c:ext xmlns:c16="http://schemas.microsoft.com/office/drawing/2014/chart" uri="{C3380CC4-5D6E-409C-BE32-E72D297353CC}">
              <c16:uniqueId val="{00000002-77FA-4D72-8567-12E5FB12167F}"/>
            </c:ext>
          </c:extLst>
        </c:ser>
        <c:dLbls>
          <c:showLegendKey val="0"/>
          <c:showVal val="0"/>
          <c:showCatName val="0"/>
          <c:showSerName val="0"/>
          <c:showPercent val="0"/>
          <c:showBubbleSize val="0"/>
        </c:dLbls>
        <c:gapWidth val="100"/>
        <c:overlap val="-24"/>
        <c:axId val="400529104"/>
        <c:axId val="400534024"/>
      </c:barChart>
      <c:catAx>
        <c:axId val="4005291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34024"/>
        <c:crosses val="autoZero"/>
        <c:auto val="1"/>
        <c:lblAlgn val="ctr"/>
        <c:lblOffset val="100"/>
        <c:noMultiLvlLbl val="0"/>
      </c:catAx>
      <c:valAx>
        <c:axId val="400534024"/>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lv-LV"/>
                  <a:t>Iepirkumu</a:t>
                </a:r>
                <a:r>
                  <a:rPr lang="lv-LV" baseline="0"/>
                  <a:t> s</a:t>
                </a:r>
                <a:r>
                  <a:rPr lang="lv-LV"/>
                  <a:t>kaits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lv-LV"/>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29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baseline="0"/>
              <a:t>Kopējās līgumcenas procentuālais sadalījums pēc iepirkuma sliekšņa un vidējās līgumcenas rādītāji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2765836944602044"/>
          <c:y val="0.11419620470763839"/>
          <c:w val="0.7658012369483953"/>
          <c:h val="0.62737714237333242"/>
        </c:manualLayout>
      </c:layout>
      <c:barChart>
        <c:barDir val="col"/>
        <c:grouping val="clustered"/>
        <c:varyColors val="0"/>
        <c:ser>
          <c:idx val="0"/>
          <c:order val="0"/>
          <c:tx>
            <c:strRef>
              <c:f>'IV. Virs_zem_%_pa_gadiem'!$B$65:$B$66</c:f>
              <c:strCache>
                <c:ptCount val="2"/>
                <c:pt idx="0">
                  <c:v>Kopējā līgumcenu summa (EUR) bez PVN</c:v>
                </c:pt>
                <c:pt idx="1">
                  <c:v>virs ES līgumcenu sliekšņa</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Virs_zem_%_pa_gadiem'!$A$67:$A$76</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'IV. Virs_zem_%_pa_gadiem'!$B$67:$B$76</c:f>
              <c:numCache>
                <c:formatCode>0.0%</c:formatCode>
                <c:ptCount val="10"/>
                <c:pt idx="0">
                  <c:v>0.79500000000000004</c:v>
                </c:pt>
                <c:pt idx="1">
                  <c:v>0.51300000000000001</c:v>
                </c:pt>
                <c:pt idx="2">
                  <c:v>0.84299999999999997</c:v>
                </c:pt>
                <c:pt idx="3">
                  <c:v>0.48899999999999999</c:v>
                </c:pt>
                <c:pt idx="4">
                  <c:v>0.70799999999999996</c:v>
                </c:pt>
                <c:pt idx="5">
                  <c:v>0.90300000000000002</c:v>
                </c:pt>
                <c:pt idx="6">
                  <c:v>0.86526264504372929</c:v>
                </c:pt>
                <c:pt idx="7">
                  <c:v>0.58937326487139696</c:v>
                </c:pt>
                <c:pt idx="8">
                  <c:v>0.8674676190099011</c:v>
                </c:pt>
                <c:pt idx="9">
                  <c:v>0.91112590022514128</c:v>
                </c:pt>
              </c:numCache>
            </c:numRef>
          </c:val>
          <c:extLst>
            <c:ext xmlns:c16="http://schemas.microsoft.com/office/drawing/2014/chart" uri="{C3380CC4-5D6E-409C-BE32-E72D297353CC}">
              <c16:uniqueId val="{00000000-F4DE-42B7-B3EA-E7C8CDF9BA54}"/>
            </c:ext>
          </c:extLst>
        </c:ser>
        <c:ser>
          <c:idx val="1"/>
          <c:order val="1"/>
          <c:tx>
            <c:strRef>
              <c:f>'IV. Virs_zem_%_pa_gadiem'!$C$65:$C$66</c:f>
              <c:strCache>
                <c:ptCount val="2"/>
                <c:pt idx="0">
                  <c:v>Kopējā līgumcenu summa (EUR) bez PVN</c:v>
                </c:pt>
                <c:pt idx="1">
                  <c:v>zem ES līgumcenu sliekšņa</c:v>
                </c:pt>
              </c:strCache>
            </c:strRef>
          </c:tx>
          <c:spPr>
            <a:solidFill>
              <a:srgbClr val="FFCC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Virs_zem_%_pa_gadiem'!$A$67:$A$76</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'IV. Virs_zem_%_pa_gadiem'!$C$67:$C$76</c:f>
              <c:numCache>
                <c:formatCode>0.0%</c:formatCode>
                <c:ptCount val="10"/>
                <c:pt idx="0">
                  <c:v>0.20499999999999999</c:v>
                </c:pt>
                <c:pt idx="1">
                  <c:v>0.48699999999999999</c:v>
                </c:pt>
                <c:pt idx="2">
                  <c:v>0.157</c:v>
                </c:pt>
                <c:pt idx="3">
                  <c:v>0.51100000000000001</c:v>
                </c:pt>
                <c:pt idx="4">
                  <c:v>0.29199999999999998</c:v>
                </c:pt>
                <c:pt idx="5">
                  <c:v>9.7000000000000003E-2</c:v>
                </c:pt>
                <c:pt idx="6">
                  <c:v>0.13473735495627071</c:v>
                </c:pt>
                <c:pt idx="7">
                  <c:v>0.41062673512860298</c:v>
                </c:pt>
                <c:pt idx="8">
                  <c:v>0.13253238099009892</c:v>
                </c:pt>
                <c:pt idx="9">
                  <c:v>8.8874099774858703E-2</c:v>
                </c:pt>
              </c:numCache>
            </c:numRef>
          </c:val>
          <c:extLst>
            <c:ext xmlns:c16="http://schemas.microsoft.com/office/drawing/2014/chart" uri="{C3380CC4-5D6E-409C-BE32-E72D297353CC}">
              <c16:uniqueId val="{00000001-F4DE-42B7-B3EA-E7C8CDF9BA54}"/>
            </c:ext>
          </c:extLst>
        </c:ser>
        <c:dLbls>
          <c:showLegendKey val="0"/>
          <c:showVal val="0"/>
          <c:showCatName val="0"/>
          <c:showSerName val="0"/>
          <c:showPercent val="0"/>
          <c:showBubbleSize val="0"/>
        </c:dLbls>
        <c:gapWidth val="219"/>
        <c:overlap val="-27"/>
        <c:axId val="480523040"/>
        <c:axId val="480523696"/>
      </c:barChart>
      <c:lineChart>
        <c:grouping val="standard"/>
        <c:varyColors val="0"/>
        <c:ser>
          <c:idx val="2"/>
          <c:order val="2"/>
          <c:tx>
            <c:strRef>
              <c:f>'IV. Virs_zem_%_pa_gadiem'!$D$65:$D$66</c:f>
              <c:strCache>
                <c:ptCount val="2"/>
                <c:pt idx="0">
                  <c:v>Vidējā līgumcena (milj. EUR) bez PVN</c:v>
                </c:pt>
                <c:pt idx="1">
                  <c:v>virs ES līgumcenu sliekšņa</c:v>
                </c:pt>
              </c:strCache>
            </c:strRef>
          </c:tx>
          <c:spPr>
            <a:ln w="28575" cap="rnd">
              <a:solidFill>
                <a:schemeClr val="accent6"/>
              </a:solidFill>
              <a:round/>
            </a:ln>
            <a:effectLst/>
          </c:spPr>
          <c:marker>
            <c:symbol val="none"/>
          </c:marker>
          <c:dLbls>
            <c:dLbl>
              <c:idx val="6"/>
              <c:layout>
                <c:manualLayout>
                  <c:x val="-4.4716986668274485E-2"/>
                  <c:y val="-3.87722132471728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67-4D5A-AF7F-F10E59F38D5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Virs_zem_%_pa_gadiem'!$A$67:$A$76</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'IV. Virs_zem_%_pa_gadiem'!$D$67:$D$76</c:f>
              <c:numCache>
                <c:formatCode>#\ ##0.0</c:formatCode>
                <c:ptCount val="10"/>
                <c:pt idx="0">
                  <c:v>1.21</c:v>
                </c:pt>
                <c:pt idx="1">
                  <c:v>1.3339669999999999</c:v>
                </c:pt>
                <c:pt idx="2">
                  <c:v>1.5763240000000001</c:v>
                </c:pt>
                <c:pt idx="3">
                  <c:v>8.2194950000000002</c:v>
                </c:pt>
                <c:pt idx="4" formatCode="General">
                  <c:v>1.3</c:v>
                </c:pt>
                <c:pt idx="5" formatCode="General">
                  <c:v>1.4</c:v>
                </c:pt>
                <c:pt idx="6" formatCode="General">
                  <c:v>8.1999999999999993</c:v>
                </c:pt>
                <c:pt idx="7" formatCode="General">
                  <c:v>2.9</c:v>
                </c:pt>
                <c:pt idx="8" formatCode="General">
                  <c:v>7.5</c:v>
                </c:pt>
                <c:pt idx="9" formatCode="General">
                  <c:v>3.3</c:v>
                </c:pt>
              </c:numCache>
            </c:numRef>
          </c:val>
          <c:smooth val="0"/>
          <c:extLst>
            <c:ext xmlns:c16="http://schemas.microsoft.com/office/drawing/2014/chart" uri="{C3380CC4-5D6E-409C-BE32-E72D297353CC}">
              <c16:uniqueId val="{00000002-F4DE-42B7-B3EA-E7C8CDF9BA54}"/>
            </c:ext>
          </c:extLst>
        </c:ser>
        <c:ser>
          <c:idx val="3"/>
          <c:order val="3"/>
          <c:tx>
            <c:strRef>
              <c:f>'IV. Virs_zem_%_pa_gadiem'!$E$65:$E$66</c:f>
              <c:strCache>
                <c:ptCount val="2"/>
                <c:pt idx="0">
                  <c:v>Vidējā līgumcena (milj. EUR) bez PVN</c:v>
                </c:pt>
                <c:pt idx="1">
                  <c:v>zem ES līgumcenu sliekšņa</c:v>
                </c:pt>
              </c:strCache>
            </c:strRef>
          </c:tx>
          <c:spPr>
            <a:ln w="28575" cap="rnd">
              <a:solidFill>
                <a:schemeClr val="accent4"/>
              </a:solidFill>
              <a:round/>
            </a:ln>
            <a:effectLst/>
          </c:spPr>
          <c:marker>
            <c:symbol val="none"/>
          </c:marker>
          <c:dPt>
            <c:idx val="3"/>
            <c:marker>
              <c:symbol val="none"/>
            </c:marker>
            <c:bubble3D val="0"/>
            <c:spPr>
              <a:ln w="28575" cap="rnd">
                <a:solidFill>
                  <a:srgbClr val="FF9900"/>
                </a:solidFill>
                <a:round/>
              </a:ln>
              <a:effectLst/>
            </c:spPr>
            <c:extLst>
              <c:ext xmlns:c16="http://schemas.microsoft.com/office/drawing/2014/chart" uri="{C3380CC4-5D6E-409C-BE32-E72D297353CC}">
                <c16:uniqueId val="{00000004-F4DE-42B7-B3EA-E7C8CDF9BA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Virs_zem_%_pa_gadiem'!$A$67:$A$76</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'IV. Virs_zem_%_pa_gadiem'!$E$67:$E$76</c:f>
              <c:numCache>
                <c:formatCode>#\ ##0.0</c:formatCode>
                <c:ptCount val="10"/>
                <c:pt idx="0">
                  <c:v>0.15625700000000001</c:v>
                </c:pt>
                <c:pt idx="1">
                  <c:v>0.14084199999999999</c:v>
                </c:pt>
                <c:pt idx="2">
                  <c:v>9.0619000000000005E-2</c:v>
                </c:pt>
                <c:pt idx="3">
                  <c:v>3.4999210000000001</c:v>
                </c:pt>
                <c:pt idx="4" formatCode="General">
                  <c:v>0.2</c:v>
                </c:pt>
                <c:pt idx="5" formatCode="General">
                  <c:v>0.1</c:v>
                </c:pt>
                <c:pt idx="6" formatCode="General">
                  <c:v>0.4</c:v>
                </c:pt>
                <c:pt idx="7" formatCode="General">
                  <c:v>0.7</c:v>
                </c:pt>
                <c:pt idx="8" formatCode="General">
                  <c:v>0.1</c:v>
                </c:pt>
                <c:pt idx="9" formatCode="General">
                  <c:v>0.1</c:v>
                </c:pt>
              </c:numCache>
            </c:numRef>
          </c:val>
          <c:smooth val="0"/>
          <c:extLst>
            <c:ext xmlns:c16="http://schemas.microsoft.com/office/drawing/2014/chart" uri="{C3380CC4-5D6E-409C-BE32-E72D297353CC}">
              <c16:uniqueId val="{00000003-F4DE-42B7-B3EA-E7C8CDF9BA54}"/>
            </c:ext>
          </c:extLst>
        </c:ser>
        <c:dLbls>
          <c:showLegendKey val="0"/>
          <c:showVal val="0"/>
          <c:showCatName val="0"/>
          <c:showSerName val="0"/>
          <c:showPercent val="0"/>
          <c:showBubbleSize val="0"/>
        </c:dLbls>
        <c:marker val="1"/>
        <c:smooth val="0"/>
        <c:axId val="480518120"/>
        <c:axId val="480512216"/>
      </c:lineChart>
      <c:catAx>
        <c:axId val="48052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696"/>
        <c:crosses val="autoZero"/>
        <c:auto val="1"/>
        <c:lblAlgn val="ctr"/>
        <c:lblOffset val="100"/>
        <c:noMultiLvlLbl val="0"/>
      </c:catAx>
      <c:valAx>
        <c:axId val="48052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r>
                  <a:rPr lang="lv-LV"/>
                  <a:t>%</a:t>
                </a:r>
              </a:p>
            </c:rich>
          </c:tx>
          <c:overlay val="0"/>
          <c:spPr>
            <a:noFill/>
            <a:ln>
              <a:noFill/>
            </a:ln>
            <a:effectLst/>
          </c:spPr>
          <c:txPr>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040"/>
        <c:crosses val="autoZero"/>
        <c:crossBetween val="between"/>
      </c:valAx>
      <c:valAx>
        <c:axId val="48051221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lv-LV"/>
                  <a:t>Milj.EUR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 ##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8120"/>
        <c:crosses val="max"/>
        <c:crossBetween val="between"/>
      </c:valAx>
      <c:catAx>
        <c:axId val="480518120"/>
        <c:scaling>
          <c:orientation val="minMax"/>
        </c:scaling>
        <c:delete val="1"/>
        <c:axPos val="b"/>
        <c:numFmt formatCode="General" sourceLinked="1"/>
        <c:majorTickMark val="out"/>
        <c:minorTickMark val="none"/>
        <c:tickLblPos val="nextTo"/>
        <c:crossAx val="48051221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r>
              <a:rPr lang="lv-LV" sz="1400"/>
              <a:t>Iepirkumu skaita procentuālais īpatsvars pēc līgumcenu sliekšņa </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endParaRPr lang="lv-LV"/>
        </a:p>
      </c:txPr>
    </c:title>
    <c:autoTitleDeleted val="0"/>
    <c:plotArea>
      <c:layout/>
      <c:barChart>
        <c:barDir val="col"/>
        <c:grouping val="clustered"/>
        <c:varyColors val="0"/>
        <c:ser>
          <c:idx val="0"/>
          <c:order val="0"/>
          <c:tx>
            <c:strRef>
              <c:f>'IV. Virs_zem_%_pa_gadiem'!$B$51</c:f>
              <c:strCache>
                <c:ptCount val="1"/>
                <c:pt idx="0">
                  <c:v>virs ES līgumcenu sliekšņa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'IV. Virs_zem_%_pa_gadiem'!$A$52:$A$61</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'IV. Virs_zem_%_pa_gadiem'!$B$52:$B$61</c:f>
              <c:numCache>
                <c:formatCode>0.0%</c:formatCode>
                <c:ptCount val="10"/>
                <c:pt idx="0">
                  <c:v>0.33333333333333331</c:v>
                </c:pt>
                <c:pt idx="1">
                  <c:v>0.1</c:v>
                </c:pt>
                <c:pt idx="2">
                  <c:v>0.23529411764705882</c:v>
                </c:pt>
                <c:pt idx="3">
                  <c:v>0.28947368421052633</c:v>
                </c:pt>
                <c:pt idx="4">
                  <c:v>0.29629629629629628</c:v>
                </c:pt>
                <c:pt idx="5">
                  <c:v>0.5</c:v>
                </c:pt>
                <c:pt idx="6">
                  <c:v>0.25641025641025639</c:v>
                </c:pt>
                <c:pt idx="7">
                  <c:v>0.26190476190476192</c:v>
                </c:pt>
                <c:pt idx="8">
                  <c:v>0.16438356164383561</c:v>
                </c:pt>
                <c:pt idx="9">
                  <c:v>0.31428571428571428</c:v>
                </c:pt>
              </c:numCache>
            </c:numRef>
          </c:val>
          <c:extLst>
            <c:ext xmlns:c16="http://schemas.microsoft.com/office/drawing/2014/chart" uri="{C3380CC4-5D6E-409C-BE32-E72D297353CC}">
              <c16:uniqueId val="{00000000-119C-47F5-B0B6-2F11C73F9B60}"/>
            </c:ext>
          </c:extLst>
        </c:ser>
        <c:ser>
          <c:idx val="1"/>
          <c:order val="1"/>
          <c:tx>
            <c:strRef>
              <c:f>'IV. Virs_zem_%_pa_gadiem'!$C$51</c:f>
              <c:strCache>
                <c:ptCount val="1"/>
                <c:pt idx="0">
                  <c:v>zem ES līgumcenu sliekšņa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'IV. Virs_zem_%_pa_gadiem'!$A$52:$A$61</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'IV. Virs_zem_%_pa_gadiem'!$C$52:$C$61</c:f>
              <c:numCache>
                <c:formatCode>0.0%</c:formatCode>
                <c:ptCount val="10"/>
                <c:pt idx="0">
                  <c:v>0.66666666666666663</c:v>
                </c:pt>
                <c:pt idx="1">
                  <c:v>0.9</c:v>
                </c:pt>
                <c:pt idx="2">
                  <c:v>0.76470588235294112</c:v>
                </c:pt>
                <c:pt idx="3">
                  <c:v>0.71052631578947367</c:v>
                </c:pt>
                <c:pt idx="4">
                  <c:v>0.70370370370370372</c:v>
                </c:pt>
                <c:pt idx="5">
                  <c:v>0.5</c:v>
                </c:pt>
                <c:pt idx="6">
                  <c:v>0.74358974358974361</c:v>
                </c:pt>
                <c:pt idx="7">
                  <c:v>0.73809523809523814</c:v>
                </c:pt>
                <c:pt idx="8">
                  <c:v>0.83561643835616439</c:v>
                </c:pt>
                <c:pt idx="9">
                  <c:v>0.68571428571428572</c:v>
                </c:pt>
              </c:numCache>
            </c:numRef>
          </c:val>
          <c:extLst>
            <c:ext xmlns:c16="http://schemas.microsoft.com/office/drawing/2014/chart" uri="{C3380CC4-5D6E-409C-BE32-E72D297353CC}">
              <c16:uniqueId val="{00000001-119C-47F5-B0B6-2F11C73F9B60}"/>
            </c:ext>
          </c:extLst>
        </c:ser>
        <c:dLbls>
          <c:showLegendKey val="0"/>
          <c:showVal val="0"/>
          <c:showCatName val="0"/>
          <c:showSerName val="0"/>
          <c:showPercent val="0"/>
          <c:showBubbleSize val="0"/>
        </c:dLbls>
        <c:gapWidth val="100"/>
        <c:overlap val="-24"/>
        <c:axId val="440244368"/>
        <c:axId val="440244040"/>
      </c:barChart>
      <c:catAx>
        <c:axId val="44024436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040"/>
        <c:crosses val="autoZero"/>
        <c:auto val="1"/>
        <c:lblAlgn val="ctr"/>
        <c:lblOffset val="100"/>
        <c:noMultiLvlLbl val="0"/>
      </c:catAx>
      <c:valAx>
        <c:axId val="440244040"/>
        <c:scaling>
          <c:orientation val="minMax"/>
        </c:scaling>
        <c:delete val="0"/>
        <c:axPos val="l"/>
        <c:majorGridlines>
          <c:spPr>
            <a:ln w="9525" cap="flat" cmpd="sng" algn="ctr">
              <a:solidFill>
                <a:schemeClr val="tx2">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sz="1400" b="1"/>
              <a:t>Kopējās</a:t>
            </a:r>
            <a:r>
              <a:rPr lang="lv-LV" sz="1400" b="1" baseline="0"/>
              <a:t> līgumcenu summas procentuālais īpatsvars pēc līgumcenu sliekšņa </a:t>
            </a:r>
            <a:endParaRPr lang="lv-LV"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'IV. Virs_zem_%_pa_gadiem'!$F$51</c:f>
              <c:strCache>
                <c:ptCount val="1"/>
                <c:pt idx="0">
                  <c:v>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Virs_zem_%_pa_gadiem'!$E$52:$E$61</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'IV. Virs_zem_%_pa_gadiem'!$F$52:$F$61</c:f>
              <c:numCache>
                <c:formatCode>0.0%</c:formatCode>
                <c:ptCount val="10"/>
                <c:pt idx="0">
                  <c:v>0.79473817646340195</c:v>
                </c:pt>
                <c:pt idx="1">
                  <c:v>0.51275993237856621</c:v>
                </c:pt>
                <c:pt idx="2">
                  <c:v>0.84257674506116775</c:v>
                </c:pt>
                <c:pt idx="3">
                  <c:v>0.48895851733046386</c:v>
                </c:pt>
                <c:pt idx="4">
                  <c:v>0.70845745102383173</c:v>
                </c:pt>
                <c:pt idx="5">
                  <c:v>0.90344031237264977</c:v>
                </c:pt>
                <c:pt idx="6">
                  <c:v>0.86526264504372929</c:v>
                </c:pt>
                <c:pt idx="7">
                  <c:v>0.58937326487139696</c:v>
                </c:pt>
                <c:pt idx="8">
                  <c:v>0.8674676190099011</c:v>
                </c:pt>
                <c:pt idx="9">
                  <c:v>0.91112590022514128</c:v>
                </c:pt>
              </c:numCache>
            </c:numRef>
          </c:val>
          <c:extLst>
            <c:ext xmlns:c16="http://schemas.microsoft.com/office/drawing/2014/chart" uri="{C3380CC4-5D6E-409C-BE32-E72D297353CC}">
              <c16:uniqueId val="{00000000-DAEF-4D4D-B860-FD497A17AC81}"/>
            </c:ext>
          </c:extLst>
        </c:ser>
        <c:ser>
          <c:idx val="1"/>
          <c:order val="1"/>
          <c:tx>
            <c:strRef>
              <c:f>'IV. Virs_zem_%_pa_gadiem'!$G$51</c:f>
              <c:strCache>
                <c:ptCount val="1"/>
                <c:pt idx="0">
                  <c:v>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Virs_zem_%_pa_gadiem'!$E$52:$E$61</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'IV. Virs_zem_%_pa_gadiem'!$G$52:$G$61</c:f>
              <c:numCache>
                <c:formatCode>0.0%</c:formatCode>
                <c:ptCount val="10"/>
                <c:pt idx="0">
                  <c:v>0.20526182353659803</c:v>
                </c:pt>
                <c:pt idx="1">
                  <c:v>0.48724006762143374</c:v>
                </c:pt>
                <c:pt idx="2">
                  <c:v>0.15742325493883219</c:v>
                </c:pt>
                <c:pt idx="3">
                  <c:v>0.5110414826695362</c:v>
                </c:pt>
                <c:pt idx="4">
                  <c:v>0.29154254897616827</c:v>
                </c:pt>
                <c:pt idx="5">
                  <c:v>9.6559687627350205E-2</c:v>
                </c:pt>
                <c:pt idx="6">
                  <c:v>0.13473735495627071</c:v>
                </c:pt>
                <c:pt idx="7">
                  <c:v>0.41062673512860298</c:v>
                </c:pt>
                <c:pt idx="8">
                  <c:v>0.13253238099009892</c:v>
                </c:pt>
                <c:pt idx="9">
                  <c:v>8.8874099774858703E-2</c:v>
                </c:pt>
              </c:numCache>
            </c:numRef>
          </c:val>
          <c:extLst>
            <c:ext xmlns:c16="http://schemas.microsoft.com/office/drawing/2014/chart" uri="{C3380CC4-5D6E-409C-BE32-E72D297353CC}">
              <c16:uniqueId val="{00000001-DAEF-4D4D-B860-FD497A17AC81}"/>
            </c:ext>
          </c:extLst>
        </c:ser>
        <c:dLbls>
          <c:showLegendKey val="0"/>
          <c:showVal val="0"/>
          <c:showCatName val="0"/>
          <c:showSerName val="0"/>
          <c:showPercent val="0"/>
          <c:showBubbleSize val="0"/>
        </c:dLbls>
        <c:gapWidth val="219"/>
        <c:overlap val="-27"/>
        <c:axId val="387011104"/>
        <c:axId val="387011432"/>
      </c:barChart>
      <c:catAx>
        <c:axId val="38701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432"/>
        <c:crosses val="autoZero"/>
        <c:auto val="1"/>
        <c:lblAlgn val="ctr"/>
        <c:lblOffset val="100"/>
        <c:noMultiLvlLbl val="0"/>
      </c:catAx>
      <c:valAx>
        <c:axId val="3870114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1"/>
              <a:t>Decentralizēti</a:t>
            </a:r>
            <a:r>
              <a:rPr lang="lv-LV" b="1" baseline="0"/>
              <a:t> un centralizēti veikto iepirkumu procentuālais sadalījums un to vidējā līgumcena</a:t>
            </a:r>
            <a:endParaRPr lang="lv-LV" b="1"/>
          </a:p>
        </c:rich>
      </c:tx>
      <c:layout>
        <c:manualLayout>
          <c:xMode val="edge"/>
          <c:yMode val="edge"/>
          <c:x val="0.14115504806554965"/>
          <c:y val="1.75901495162708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7958852833646222E-2"/>
          <c:y val="0.18773600668337512"/>
          <c:w val="0.8493253296485227"/>
          <c:h val="0.61360566771258851"/>
        </c:manualLayout>
      </c:layout>
      <c:barChart>
        <c:barDir val="col"/>
        <c:grouping val="clustered"/>
        <c:varyColors val="0"/>
        <c:ser>
          <c:idx val="0"/>
          <c:order val="0"/>
          <c:tx>
            <c:strRef>
              <c:f>'VI. Dec_centr_%_pret_kopā'!$B$56:$B$57</c:f>
              <c:strCache>
                <c:ptCount val="2"/>
                <c:pt idx="0">
                  <c:v>Kopējā līgumcenu summa (EUR) bez PVN</c:v>
                </c:pt>
                <c:pt idx="1">
                  <c:v>Centralizētie</c:v>
                </c:pt>
              </c:strCache>
            </c:strRef>
          </c:tx>
          <c:spPr>
            <a:solidFill>
              <a:schemeClr val="accent1">
                <a:lumMod val="40000"/>
                <a:lumOff val="60000"/>
              </a:schemeClr>
            </a:solidFill>
            <a:ln>
              <a:noFill/>
            </a:ln>
            <a:effectLst/>
          </c:spPr>
          <c:invertIfNegative val="0"/>
          <c:dLbls>
            <c:dLbl>
              <c:idx val="9"/>
              <c:layout>
                <c:manualLayout>
                  <c:x val="-1.6270082341989956E-3"/>
                  <c:y val="-4.01002506265663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22-47C5-A6B3-D00507053C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Dec_centr_%_pret_kopā'!$A$58:$A$67</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 Dec_centr_%_pret_kopā'!$B$58:$B$67</c:f>
              <c:numCache>
                <c:formatCode>0.0%</c:formatCode>
                <c:ptCount val="10"/>
                <c:pt idx="0">
                  <c:v>1</c:v>
                </c:pt>
                <c:pt idx="1">
                  <c:v>0.53278478686871089</c:v>
                </c:pt>
                <c:pt idx="2">
                  <c:v>0.82485807154765489</c:v>
                </c:pt>
                <c:pt idx="3">
                  <c:v>0.83548204558632289</c:v>
                </c:pt>
                <c:pt idx="4">
                  <c:v>0.77136431994699206</c:v>
                </c:pt>
                <c:pt idx="5">
                  <c:v>0.91304652119451668</c:v>
                </c:pt>
                <c:pt idx="6">
                  <c:v>0.33315901126612585</c:v>
                </c:pt>
                <c:pt idx="7">
                  <c:v>0.48262736850926108</c:v>
                </c:pt>
                <c:pt idx="8">
                  <c:v>0.72791871202399827</c:v>
                </c:pt>
                <c:pt idx="9">
                  <c:v>0.47426980401007046</c:v>
                </c:pt>
              </c:numCache>
            </c:numRef>
          </c:val>
          <c:extLst>
            <c:ext xmlns:c16="http://schemas.microsoft.com/office/drawing/2014/chart" uri="{C3380CC4-5D6E-409C-BE32-E72D297353CC}">
              <c16:uniqueId val="{00000000-1379-463C-A6E9-F4DBDB39C133}"/>
            </c:ext>
          </c:extLst>
        </c:ser>
        <c:ser>
          <c:idx val="1"/>
          <c:order val="1"/>
          <c:tx>
            <c:strRef>
              <c:f>'VI. Dec_centr_%_pret_kopā'!$C$56:$C$57</c:f>
              <c:strCache>
                <c:ptCount val="2"/>
                <c:pt idx="0">
                  <c:v>Kopējā līgumcenu summa (EUR) bez PVN</c:v>
                </c:pt>
                <c:pt idx="1">
                  <c:v>Decentralizētie</c:v>
                </c:pt>
              </c:strCache>
            </c:strRef>
          </c:tx>
          <c:spPr>
            <a:solidFill>
              <a:schemeClr val="accent4">
                <a:lumMod val="40000"/>
                <a:lumOff val="60000"/>
              </a:schemeClr>
            </a:solidFill>
            <a:ln>
              <a:noFill/>
            </a:ln>
            <a:effectLst/>
          </c:spPr>
          <c:invertIfNegative val="0"/>
          <c:dLbls>
            <c:dLbl>
              <c:idx val="7"/>
              <c:layout>
                <c:manualLayout>
                  <c:x val="1.6270082341989955E-2"/>
                  <c:y val="-4.34419381787803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22-47C5-A6B3-D00507053C99}"/>
                </c:ext>
              </c:extLst>
            </c:dLbl>
            <c:dLbl>
              <c:idx val="9"/>
              <c:layout>
                <c:manualLayout>
                  <c:x val="1.6270082341989956E-3"/>
                  <c:y val="-6.68337510442774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22-47C5-A6B3-D00507053C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Dec_centr_%_pret_kopā'!$A$58:$A$67</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 Dec_centr_%_pret_kopā'!$C$58:$C$67</c:f>
              <c:numCache>
                <c:formatCode>0.0%</c:formatCode>
                <c:ptCount val="10"/>
                <c:pt idx="0">
                  <c:v>0</c:v>
                </c:pt>
                <c:pt idx="1">
                  <c:v>0.46721521313128905</c:v>
                </c:pt>
                <c:pt idx="2">
                  <c:v>0.17514192845234514</c:v>
                </c:pt>
                <c:pt idx="3">
                  <c:v>0.16451795441367709</c:v>
                </c:pt>
                <c:pt idx="4">
                  <c:v>0.22863568005300799</c:v>
                </c:pt>
                <c:pt idx="5">
                  <c:v>8.6953478805483292E-2</c:v>
                </c:pt>
                <c:pt idx="6">
                  <c:v>0.6668409887338741</c:v>
                </c:pt>
                <c:pt idx="7">
                  <c:v>0.51737263149073887</c:v>
                </c:pt>
                <c:pt idx="8">
                  <c:v>0.27208128797600178</c:v>
                </c:pt>
                <c:pt idx="9">
                  <c:v>0.52573019598992954</c:v>
                </c:pt>
              </c:numCache>
            </c:numRef>
          </c:val>
          <c:extLst>
            <c:ext xmlns:c16="http://schemas.microsoft.com/office/drawing/2014/chart" uri="{C3380CC4-5D6E-409C-BE32-E72D297353CC}">
              <c16:uniqueId val="{00000001-1379-463C-A6E9-F4DBDB39C133}"/>
            </c:ext>
          </c:extLst>
        </c:ser>
        <c:dLbls>
          <c:showLegendKey val="0"/>
          <c:showVal val="0"/>
          <c:showCatName val="0"/>
          <c:showSerName val="0"/>
          <c:showPercent val="0"/>
          <c:showBubbleSize val="0"/>
        </c:dLbls>
        <c:gapWidth val="219"/>
        <c:overlap val="-27"/>
        <c:axId val="480528616"/>
        <c:axId val="480521072"/>
      </c:barChart>
      <c:lineChart>
        <c:grouping val="standard"/>
        <c:varyColors val="0"/>
        <c:ser>
          <c:idx val="2"/>
          <c:order val="2"/>
          <c:tx>
            <c:strRef>
              <c:f>'VI. Dec_centr_%_pret_kopā'!$D$56:$D$57</c:f>
              <c:strCache>
                <c:ptCount val="2"/>
                <c:pt idx="0">
                  <c:v>Vidējā līgumcena </c:v>
                </c:pt>
                <c:pt idx="1">
                  <c:v>Centralizētie</c:v>
                </c:pt>
              </c:strCache>
            </c:strRef>
          </c:tx>
          <c:spPr>
            <a:ln w="28575" cap="rnd">
              <a:solidFill>
                <a:schemeClr val="accent1">
                  <a:lumMod val="75000"/>
                </a:schemeClr>
              </a:solidFill>
              <a:round/>
            </a:ln>
            <a:effectLst/>
          </c:spPr>
          <c:marker>
            <c:symbol val="none"/>
          </c:marker>
          <c:dLbls>
            <c:dLbl>
              <c:idx val="0"/>
              <c:layout>
                <c:manualLayout>
                  <c:x val="-8.2880076119150221E-3"/>
                  <c:y val="-4.22163588390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79-463C-A6E9-F4DBDB39C133}"/>
                </c:ext>
              </c:extLst>
            </c:dLbl>
            <c:dLbl>
              <c:idx val="1"/>
              <c:layout>
                <c:manualLayout>
                  <c:x val="2.6936024738723825E-2"/>
                  <c:y val="-2.11081794195250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79-463C-A6E9-F4DBDB39C133}"/>
                </c:ext>
              </c:extLst>
            </c:dLbl>
            <c:dLbl>
              <c:idx val="8"/>
              <c:layout>
                <c:manualLayout>
                  <c:x val="-3.9048197620775896E-2"/>
                  <c:y val="7.35171261487050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D22-47C5-A6B3-D00507053C99}"/>
                </c:ext>
              </c:extLst>
            </c:dLbl>
            <c:dLbl>
              <c:idx val="9"/>
              <c:layout>
                <c:manualLayout>
                  <c:x val="-4.3929222323372999E-2"/>
                  <c:y val="5.01253132832080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22-47C5-A6B3-D00507053C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Dec_centr_%_pret_kopā'!$A$58:$A$67</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 Dec_centr_%_pret_kopā'!$D$58:$D$67</c:f>
              <c:numCache>
                <c:formatCode>#,##0</c:formatCode>
                <c:ptCount val="10"/>
                <c:pt idx="0">
                  <c:v>507505</c:v>
                </c:pt>
                <c:pt idx="1">
                  <c:v>346516</c:v>
                </c:pt>
                <c:pt idx="2">
                  <c:v>617270</c:v>
                </c:pt>
                <c:pt idx="3">
                  <c:v>5517533</c:v>
                </c:pt>
                <c:pt idx="4">
                  <c:v>737924</c:v>
                </c:pt>
                <c:pt idx="5">
                  <c:v>1136124</c:v>
                </c:pt>
                <c:pt idx="6">
                  <c:v>1866163.294117647</c:v>
                </c:pt>
                <c:pt idx="7">
                  <c:v>1787721.4</c:v>
                </c:pt>
                <c:pt idx="8">
                  <c:v>3433715.3181818184</c:v>
                </c:pt>
                <c:pt idx="9">
                  <c:v>2233542.6470588236</c:v>
                </c:pt>
              </c:numCache>
            </c:numRef>
          </c:val>
          <c:smooth val="0"/>
          <c:extLst>
            <c:ext xmlns:c16="http://schemas.microsoft.com/office/drawing/2014/chart" uri="{C3380CC4-5D6E-409C-BE32-E72D297353CC}">
              <c16:uniqueId val="{00000002-1379-463C-A6E9-F4DBDB39C133}"/>
            </c:ext>
          </c:extLst>
        </c:ser>
        <c:ser>
          <c:idx val="3"/>
          <c:order val="3"/>
          <c:tx>
            <c:strRef>
              <c:f>'VI. Dec_centr_%_pret_kopā'!$E$56:$E$57</c:f>
              <c:strCache>
                <c:ptCount val="2"/>
                <c:pt idx="0">
                  <c:v>Vidējā līgumcena </c:v>
                </c:pt>
                <c:pt idx="1">
                  <c:v>Decentralizētie</c:v>
                </c:pt>
              </c:strCache>
            </c:strRef>
          </c:tx>
          <c:spPr>
            <a:ln w="28575" cap="rnd">
              <a:solidFill>
                <a:schemeClr val="accent4"/>
              </a:solidFill>
              <a:round/>
            </a:ln>
            <a:effectLst/>
          </c:spPr>
          <c:marker>
            <c:symbol val="none"/>
          </c:marker>
          <c:dLbls>
            <c:dLbl>
              <c:idx val="1"/>
              <c:layout>
                <c:manualLayout>
                  <c:x val="1.2432011417872533E-2"/>
                  <c:y val="-7.7396657871591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9-463C-A6E9-F4DBDB39C133}"/>
                </c:ext>
              </c:extLst>
            </c:dLbl>
            <c:dLbl>
              <c:idx val="6"/>
              <c:layout>
                <c:manualLayout>
                  <c:x val="0"/>
                  <c:y val="-4.01002506265664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22-47C5-A6B3-D00507053C99}"/>
                </c:ext>
              </c:extLst>
            </c:dLbl>
            <c:dLbl>
              <c:idx val="8"/>
              <c:layout>
                <c:manualLayout>
                  <c:x val="3.2540164683979912E-3"/>
                  <c:y val="-4.67836257309941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22-47C5-A6B3-D00507053C99}"/>
                </c:ext>
              </c:extLst>
            </c:dLbl>
            <c:dLbl>
              <c:idx val="9"/>
              <c:layout>
                <c:manualLayout>
                  <c:x val="-6.508032936796102E-3"/>
                  <c:y val="4.01002506265664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22-47C5-A6B3-D00507053C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Dec_centr_%_pret_kopā'!$A$58:$A$67</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 Dec_centr_%_pret_kopā'!$E$58:$E$67</c:f>
              <c:numCache>
                <c:formatCode>#,##0</c:formatCode>
                <c:ptCount val="10"/>
                <c:pt idx="0">
                  <c:v>0</c:v>
                </c:pt>
                <c:pt idx="1">
                  <c:v>202580</c:v>
                </c:pt>
                <c:pt idx="2">
                  <c:v>187235</c:v>
                </c:pt>
                <c:pt idx="3">
                  <c:v>3042139</c:v>
                </c:pt>
                <c:pt idx="4">
                  <c:v>318144</c:v>
                </c:pt>
                <c:pt idx="5">
                  <c:v>191427</c:v>
                </c:pt>
                <c:pt idx="6">
                  <c:v>2886334.1363636362</c:v>
                </c:pt>
                <c:pt idx="7">
                  <c:v>1064679.3703703703</c:v>
                </c:pt>
                <c:pt idx="8">
                  <c:v>553646.5294117647</c:v>
                </c:pt>
                <c:pt idx="9">
                  <c:v>794154.03773584904</c:v>
                </c:pt>
              </c:numCache>
            </c:numRef>
          </c:val>
          <c:smooth val="0"/>
          <c:extLst>
            <c:ext xmlns:c16="http://schemas.microsoft.com/office/drawing/2014/chart" uri="{C3380CC4-5D6E-409C-BE32-E72D297353CC}">
              <c16:uniqueId val="{00000003-1379-463C-A6E9-F4DBDB39C133}"/>
            </c:ext>
          </c:extLst>
        </c:ser>
        <c:dLbls>
          <c:showLegendKey val="0"/>
          <c:showVal val="0"/>
          <c:showCatName val="0"/>
          <c:showSerName val="0"/>
          <c:showPercent val="0"/>
          <c:showBubbleSize val="0"/>
        </c:dLbls>
        <c:marker val="1"/>
        <c:smooth val="0"/>
        <c:axId val="480515168"/>
        <c:axId val="480514840"/>
      </c:lineChart>
      <c:catAx>
        <c:axId val="480528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1072"/>
        <c:crosses val="autoZero"/>
        <c:auto val="1"/>
        <c:lblAlgn val="ctr"/>
        <c:lblOffset val="100"/>
        <c:noMultiLvlLbl val="0"/>
      </c:catAx>
      <c:valAx>
        <c:axId val="4805210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8616"/>
        <c:crosses val="autoZero"/>
        <c:crossBetween val="between"/>
      </c:valAx>
      <c:valAx>
        <c:axId val="4805148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5168"/>
        <c:crosses val="max"/>
        <c:crossBetween val="between"/>
      </c:valAx>
      <c:catAx>
        <c:axId val="480515168"/>
        <c:scaling>
          <c:orientation val="minMax"/>
        </c:scaling>
        <c:delete val="1"/>
        <c:axPos val="b"/>
        <c:numFmt formatCode="General" sourceLinked="1"/>
        <c:majorTickMark val="out"/>
        <c:minorTickMark val="none"/>
        <c:tickLblPos val="nextTo"/>
        <c:crossAx val="4805148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baseline="0"/>
              <a:t>Valstiskās piederības sadalījums (%) pa gadiem </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621956595810596"/>
          <c:y val="0.14778012981553429"/>
          <c:w val="0.80263972013712781"/>
          <c:h val="0.71381231622293528"/>
        </c:manualLayout>
      </c:layout>
      <c:barChart>
        <c:barDir val="col"/>
        <c:grouping val="stacked"/>
        <c:varyColors val="0"/>
        <c:ser>
          <c:idx val="0"/>
          <c:order val="0"/>
          <c:tx>
            <c:strRef>
              <c:f>'VIII. Dinamika_valstu_dalījumā'!$B$54</c:f>
              <c:strCache>
                <c:ptCount val="1"/>
                <c:pt idx="0">
                  <c:v>Latvija</c:v>
                </c:pt>
              </c:strCache>
            </c:strRef>
          </c:tx>
          <c:spPr>
            <a:solidFill>
              <a:srgbClr val="FFB3B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Dinamika_valstu_dalījumā'!$A$55:$A$64</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Dinamika_valstu_dalījumā'!$B$55:$B$64</c:f>
              <c:numCache>
                <c:formatCode>0.0%</c:formatCode>
                <c:ptCount val="10"/>
                <c:pt idx="0">
                  <c:v>0</c:v>
                </c:pt>
                <c:pt idx="1">
                  <c:v>0</c:v>
                </c:pt>
                <c:pt idx="2">
                  <c:v>0</c:v>
                </c:pt>
                <c:pt idx="3">
                  <c:v>0.47058823529411764</c:v>
                </c:pt>
                <c:pt idx="4">
                  <c:v>0.33333333333333331</c:v>
                </c:pt>
                <c:pt idx="5">
                  <c:v>0.31818181818181818</c:v>
                </c:pt>
                <c:pt idx="6">
                  <c:v>0.42857142857142855</c:v>
                </c:pt>
                <c:pt idx="7">
                  <c:v>0.63636363636363635</c:v>
                </c:pt>
                <c:pt idx="8">
                  <c:v>0.7142857142857143</c:v>
                </c:pt>
                <c:pt idx="9">
                  <c:v>0.7</c:v>
                </c:pt>
              </c:numCache>
            </c:numRef>
          </c:val>
          <c:extLst>
            <c:ext xmlns:c16="http://schemas.microsoft.com/office/drawing/2014/chart" uri="{C3380CC4-5D6E-409C-BE32-E72D297353CC}">
              <c16:uniqueId val="{00000000-4F11-4E4A-898E-993602C7C0A9}"/>
            </c:ext>
          </c:extLst>
        </c:ser>
        <c:ser>
          <c:idx val="1"/>
          <c:order val="1"/>
          <c:tx>
            <c:strRef>
              <c:f>'VIII. Dinamika_valstu_dalījumā'!$C$54</c:f>
              <c:strCache>
                <c:ptCount val="1"/>
                <c:pt idx="0">
                  <c:v>ES dalībvalstis</c:v>
                </c:pt>
              </c:strCache>
            </c:strRef>
          </c:tx>
          <c:spPr>
            <a:solidFill>
              <a:srgbClr val="FF818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Dinamika_valstu_dalījumā'!$A$55:$A$64</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Dinamika_valstu_dalījumā'!$C$55:$C$64</c:f>
              <c:numCache>
                <c:formatCode>0.0%</c:formatCode>
                <c:ptCount val="10"/>
                <c:pt idx="0">
                  <c:v>1</c:v>
                </c:pt>
                <c:pt idx="1">
                  <c:v>0.5</c:v>
                </c:pt>
                <c:pt idx="2">
                  <c:v>0.8</c:v>
                </c:pt>
                <c:pt idx="3">
                  <c:v>0.29411764705882354</c:v>
                </c:pt>
                <c:pt idx="4">
                  <c:v>0.55555555555555558</c:v>
                </c:pt>
                <c:pt idx="5">
                  <c:v>0.54545454545454541</c:v>
                </c:pt>
                <c:pt idx="6">
                  <c:v>0.35714285714285715</c:v>
                </c:pt>
                <c:pt idx="7">
                  <c:v>0.27272727272727271</c:v>
                </c:pt>
                <c:pt idx="8">
                  <c:v>0.14285714285714285</c:v>
                </c:pt>
                <c:pt idx="9">
                  <c:v>0.22500000000000001</c:v>
                </c:pt>
              </c:numCache>
            </c:numRef>
          </c:val>
          <c:extLst>
            <c:ext xmlns:c16="http://schemas.microsoft.com/office/drawing/2014/chart" uri="{C3380CC4-5D6E-409C-BE32-E72D297353CC}">
              <c16:uniqueId val="{00000001-4F11-4E4A-898E-993602C7C0A9}"/>
            </c:ext>
          </c:extLst>
        </c:ser>
        <c:ser>
          <c:idx val="2"/>
          <c:order val="2"/>
          <c:tx>
            <c:strRef>
              <c:f>'VIII. Dinamika_valstu_dalījumā'!$D$54</c:f>
              <c:strCache>
                <c:ptCount val="1"/>
                <c:pt idx="0">
                  <c:v>Citas valstis</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Dinamika_valstu_dalījumā'!$A$55:$A$64</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Dinamika_valstu_dalījumā'!$D$55:$D$64</c:f>
              <c:numCache>
                <c:formatCode>0.0%</c:formatCode>
                <c:ptCount val="10"/>
                <c:pt idx="0">
                  <c:v>0</c:v>
                </c:pt>
                <c:pt idx="1">
                  <c:v>0.5</c:v>
                </c:pt>
                <c:pt idx="2">
                  <c:v>0.2</c:v>
                </c:pt>
                <c:pt idx="3">
                  <c:v>0.23529411764705882</c:v>
                </c:pt>
                <c:pt idx="4">
                  <c:v>0.1111111111111111</c:v>
                </c:pt>
                <c:pt idx="5">
                  <c:v>0.13636363636363635</c:v>
                </c:pt>
                <c:pt idx="6">
                  <c:v>0.21428571428571427</c:v>
                </c:pt>
                <c:pt idx="7">
                  <c:v>9.0909090909090912E-2</c:v>
                </c:pt>
                <c:pt idx="8">
                  <c:v>0.14285714285714285</c:v>
                </c:pt>
                <c:pt idx="9">
                  <c:v>7.4999999999999997E-2</c:v>
                </c:pt>
              </c:numCache>
            </c:numRef>
          </c:val>
          <c:extLst>
            <c:ext xmlns:c16="http://schemas.microsoft.com/office/drawing/2014/chart" uri="{C3380CC4-5D6E-409C-BE32-E72D297353CC}">
              <c16:uniqueId val="{00000002-4F11-4E4A-898E-993602C7C0A9}"/>
            </c:ext>
          </c:extLst>
        </c:ser>
        <c:dLbls>
          <c:showLegendKey val="0"/>
          <c:showVal val="0"/>
          <c:showCatName val="0"/>
          <c:showSerName val="0"/>
          <c:showPercent val="0"/>
          <c:showBubbleSize val="0"/>
        </c:dLbls>
        <c:gapWidth val="150"/>
        <c:overlap val="100"/>
        <c:axId val="557875240"/>
        <c:axId val="557872616"/>
      </c:barChart>
      <c:catAx>
        <c:axId val="557875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2616"/>
        <c:crosses val="autoZero"/>
        <c:auto val="1"/>
        <c:lblAlgn val="ctr"/>
        <c:lblOffset val="100"/>
        <c:noMultiLvlLbl val="0"/>
      </c:catAx>
      <c:valAx>
        <c:axId val="5578726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5240"/>
        <c:crosses val="autoZero"/>
        <c:crossBetween val="between"/>
      </c:valAx>
      <c:spPr>
        <a:noFill/>
        <a:ln>
          <a:noFill/>
        </a:ln>
        <a:effectLst/>
      </c:spPr>
    </c:plotArea>
    <c:legend>
      <c:legendPos val="b"/>
      <c:layout>
        <c:manualLayout>
          <c:xMode val="edge"/>
          <c:yMode val="edge"/>
          <c:x val="0.22483853808069246"/>
          <c:y val="0.92366067427272014"/>
          <c:w val="0.55032267767949739"/>
          <c:h val="5.39572257676632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a:t>Iepirkumu skaita </a:t>
            </a:r>
            <a:r>
              <a:rPr lang="lv-LV" sz="1200" b="1" baseline="0"/>
              <a:t>sadalījums pa iepirkuma veidiem pēc valstiskās piederības                               202</a:t>
            </a:r>
            <a:r>
              <a:rPr lang="en-US" sz="1200" b="1" baseline="0"/>
              <a:t>1</a:t>
            </a:r>
            <a:r>
              <a:rPr lang="lv-LV" sz="1200" b="1" baseline="0"/>
              <a:t>.</a:t>
            </a:r>
            <a:r>
              <a:rPr lang="en-150" sz="1200" b="1" baseline="0"/>
              <a:t> </a:t>
            </a:r>
            <a:r>
              <a:rPr lang="lv-LV" sz="1200" b="1" baseline="0"/>
              <a:t>gad</a:t>
            </a:r>
            <a:r>
              <a:rPr lang="en-150" sz="1200" b="1" baseline="0"/>
              <a:t>ā</a:t>
            </a:r>
            <a:endParaRPr lang="lv-LV" sz="1200" b="1"/>
          </a:p>
        </c:rich>
      </c:tx>
      <c:layout>
        <c:manualLayout>
          <c:xMode val="edge"/>
          <c:yMode val="edge"/>
          <c:x val="0.18679243191660971"/>
          <c:y val="1.5005358212558578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percentStacked"/>
        <c:varyColors val="0"/>
        <c:ser>
          <c:idx val="0"/>
          <c:order val="0"/>
          <c:tx>
            <c:strRef>
              <c:f>'VIII. Dinamika_valstu_dalījumā'!$A$80</c:f>
              <c:strCache>
                <c:ptCount val="1"/>
                <c:pt idx="0">
                  <c:v>Būvdarbi</c:v>
                </c:pt>
              </c:strCache>
            </c:strRef>
          </c:tx>
          <c:spPr>
            <a:solidFill>
              <a:srgbClr val="FF434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Dinamika_valstu_dalījumā'!$B$79:$J$79</c:f>
              <c:strCache>
                <c:ptCount val="9"/>
                <c:pt idx="0">
                  <c:v>Latvija</c:v>
                </c:pt>
                <c:pt idx="1">
                  <c:v>Vācija</c:v>
                </c:pt>
                <c:pt idx="2">
                  <c:v>Zviedrija</c:v>
                </c:pt>
                <c:pt idx="3">
                  <c:v>Čehija</c:v>
                </c:pt>
                <c:pt idx="4">
                  <c:v>Austrija</c:v>
                </c:pt>
                <c:pt idx="5">
                  <c:v>Lietuva</c:v>
                </c:pt>
                <c:pt idx="6">
                  <c:v>Lielbritānija</c:v>
                </c:pt>
                <c:pt idx="7">
                  <c:v>Nīderlande</c:v>
                </c:pt>
                <c:pt idx="8">
                  <c:v>Šveice</c:v>
                </c:pt>
              </c:strCache>
            </c:strRef>
          </c:cat>
          <c:val>
            <c:numRef>
              <c:f>'VIII. Dinamika_valstu_dalījumā'!$B$80:$I$80</c:f>
              <c:numCache>
                <c:formatCode>General</c:formatCode>
                <c:ptCount val="8"/>
                <c:pt idx="0">
                  <c:v>1</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79F2-4831-9512-6A09465BC0AE}"/>
            </c:ext>
          </c:extLst>
        </c:ser>
        <c:ser>
          <c:idx val="1"/>
          <c:order val="1"/>
          <c:tx>
            <c:strRef>
              <c:f>'VIII. Dinamika_valstu_dalījumā'!$A$81</c:f>
              <c:strCache>
                <c:ptCount val="1"/>
                <c:pt idx="0">
                  <c:v>Piegāde</c:v>
                </c:pt>
              </c:strCache>
            </c:strRef>
          </c:tx>
          <c:spPr>
            <a:solidFill>
              <a:srgbClr val="ADC1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Dinamika_valstu_dalījumā'!$B$79:$J$79</c:f>
              <c:strCache>
                <c:ptCount val="9"/>
                <c:pt idx="0">
                  <c:v>Latvija</c:v>
                </c:pt>
                <c:pt idx="1">
                  <c:v>Vācija</c:v>
                </c:pt>
                <c:pt idx="2">
                  <c:v>Zviedrija</c:v>
                </c:pt>
                <c:pt idx="3">
                  <c:v>Čehija</c:v>
                </c:pt>
                <c:pt idx="4">
                  <c:v>Austrija</c:v>
                </c:pt>
                <c:pt idx="5">
                  <c:v>Lietuva</c:v>
                </c:pt>
                <c:pt idx="6">
                  <c:v>Lielbritānija</c:v>
                </c:pt>
                <c:pt idx="7">
                  <c:v>Nīderlande</c:v>
                </c:pt>
                <c:pt idx="8">
                  <c:v>Šveice</c:v>
                </c:pt>
              </c:strCache>
            </c:strRef>
          </c:cat>
          <c:val>
            <c:numRef>
              <c:f>'VIII. Dinamika_valstu_dalījumā'!$B$81:$J$81</c:f>
              <c:numCache>
                <c:formatCode>General</c:formatCode>
                <c:ptCount val="9"/>
                <c:pt idx="0">
                  <c:v>12</c:v>
                </c:pt>
                <c:pt idx="1">
                  <c:v>1</c:v>
                </c:pt>
                <c:pt idx="2">
                  <c:v>0</c:v>
                </c:pt>
                <c:pt idx="3">
                  <c:v>1</c:v>
                </c:pt>
                <c:pt idx="4">
                  <c:v>2</c:v>
                </c:pt>
                <c:pt idx="5">
                  <c:v>0</c:v>
                </c:pt>
                <c:pt idx="6">
                  <c:v>1</c:v>
                </c:pt>
                <c:pt idx="7">
                  <c:v>0</c:v>
                </c:pt>
                <c:pt idx="8">
                  <c:v>0</c:v>
                </c:pt>
              </c:numCache>
            </c:numRef>
          </c:val>
          <c:extLst>
            <c:ext xmlns:c16="http://schemas.microsoft.com/office/drawing/2014/chart" uri="{C3380CC4-5D6E-409C-BE32-E72D297353CC}">
              <c16:uniqueId val="{00000001-79F2-4831-9512-6A09465BC0AE}"/>
            </c:ext>
          </c:extLst>
        </c:ser>
        <c:ser>
          <c:idx val="2"/>
          <c:order val="2"/>
          <c:tx>
            <c:strRef>
              <c:f>'VIII. Dinamika_valstu_dalījumā'!$A$82</c:f>
              <c:strCache>
                <c:ptCount val="1"/>
                <c:pt idx="0">
                  <c:v>Pakalpojumi</c:v>
                </c:pt>
              </c:strCache>
            </c:strRef>
          </c:tx>
          <c:spPr>
            <a:solidFill>
              <a:srgbClr val="FFCC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Dinamika_valstu_dalījumā'!$B$79:$J$79</c:f>
              <c:strCache>
                <c:ptCount val="9"/>
                <c:pt idx="0">
                  <c:v>Latvija</c:v>
                </c:pt>
                <c:pt idx="1">
                  <c:v>Vācija</c:v>
                </c:pt>
                <c:pt idx="2">
                  <c:v>Zviedrija</c:v>
                </c:pt>
                <c:pt idx="3">
                  <c:v>Čehija</c:v>
                </c:pt>
                <c:pt idx="4">
                  <c:v>Austrija</c:v>
                </c:pt>
                <c:pt idx="5">
                  <c:v>Lietuva</c:v>
                </c:pt>
                <c:pt idx="6">
                  <c:v>Lielbritānija</c:v>
                </c:pt>
                <c:pt idx="7">
                  <c:v>Nīderlande</c:v>
                </c:pt>
                <c:pt idx="8">
                  <c:v>Šveice</c:v>
                </c:pt>
              </c:strCache>
            </c:strRef>
          </c:cat>
          <c:val>
            <c:numRef>
              <c:f>'VIII. Dinamika_valstu_dalījumā'!$B$82:$J$82</c:f>
              <c:numCache>
                <c:formatCode>General</c:formatCode>
                <c:ptCount val="9"/>
                <c:pt idx="0">
                  <c:v>15</c:v>
                </c:pt>
                <c:pt idx="1">
                  <c:v>0</c:v>
                </c:pt>
                <c:pt idx="2">
                  <c:v>2</c:v>
                </c:pt>
                <c:pt idx="3">
                  <c:v>0</c:v>
                </c:pt>
                <c:pt idx="4">
                  <c:v>0</c:v>
                </c:pt>
                <c:pt idx="5">
                  <c:v>2</c:v>
                </c:pt>
                <c:pt idx="6">
                  <c:v>0</c:v>
                </c:pt>
                <c:pt idx="7">
                  <c:v>1</c:v>
                </c:pt>
                <c:pt idx="8">
                  <c:v>2</c:v>
                </c:pt>
              </c:numCache>
            </c:numRef>
          </c:val>
          <c:extLst>
            <c:ext xmlns:c16="http://schemas.microsoft.com/office/drawing/2014/chart" uri="{C3380CC4-5D6E-409C-BE32-E72D297353CC}">
              <c16:uniqueId val="{00000001-D4C4-4CEF-99F5-44A04E8F5559}"/>
            </c:ext>
          </c:extLst>
        </c:ser>
        <c:dLbls>
          <c:dLblPos val="ctr"/>
          <c:showLegendKey val="0"/>
          <c:showVal val="1"/>
          <c:showCatName val="0"/>
          <c:showSerName val="0"/>
          <c:showPercent val="0"/>
          <c:showBubbleSize val="0"/>
        </c:dLbls>
        <c:gapWidth val="150"/>
        <c:overlap val="100"/>
        <c:axId val="402442904"/>
        <c:axId val="402452744"/>
      </c:barChart>
      <c:catAx>
        <c:axId val="4024429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52744"/>
        <c:crosses val="autoZero"/>
        <c:auto val="1"/>
        <c:lblAlgn val="ctr"/>
        <c:lblOffset val="100"/>
        <c:noMultiLvlLbl val="0"/>
      </c:catAx>
      <c:valAx>
        <c:axId val="402452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42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rgbClr val="ADC19F"/>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Skaita dinamika pēc valstiskās piederības pa gadiem</a:t>
            </a:r>
            <a:endParaRPr lang="lv-LV" sz="12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'VIII. Dinamika_valstu_dalījumā'!$B$40</c:f>
              <c:strCache>
                <c:ptCount val="1"/>
                <c:pt idx="0">
                  <c:v>Latvija</c:v>
                </c:pt>
              </c:strCache>
            </c:strRef>
          </c:tx>
          <c:spPr>
            <a:solidFill>
              <a:schemeClr val="accent1"/>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Dinamika_valstu_dalījumā'!$B$41:$B$50</c:f>
              <c:numCache>
                <c:formatCode>General</c:formatCode>
                <c:ptCount val="10"/>
                <c:pt idx="0">
                  <c:v>0</c:v>
                </c:pt>
                <c:pt idx="1">
                  <c:v>0</c:v>
                </c:pt>
                <c:pt idx="2">
                  <c:v>0</c:v>
                </c:pt>
                <c:pt idx="3">
                  <c:v>8</c:v>
                </c:pt>
                <c:pt idx="4">
                  <c:v>3</c:v>
                </c:pt>
                <c:pt idx="5">
                  <c:v>7</c:v>
                </c:pt>
                <c:pt idx="6">
                  <c:v>12</c:v>
                </c:pt>
                <c:pt idx="7">
                  <c:v>7</c:v>
                </c:pt>
                <c:pt idx="8">
                  <c:v>10</c:v>
                </c:pt>
                <c:pt idx="9">
                  <c:v>28</c:v>
                </c:pt>
              </c:numCache>
            </c:numRef>
          </c:val>
          <c:extLst>
            <c:ext xmlns:c16="http://schemas.microsoft.com/office/drawing/2014/chart" uri="{C3380CC4-5D6E-409C-BE32-E72D297353CC}">
              <c16:uniqueId val="{00000000-FF61-41C6-84AE-1ECE74167896}"/>
            </c:ext>
          </c:extLst>
        </c:ser>
        <c:ser>
          <c:idx val="1"/>
          <c:order val="1"/>
          <c:tx>
            <c:strRef>
              <c:f>'VIII. Dinamika_valstu_dalījumā'!$C$40</c:f>
              <c:strCache>
                <c:ptCount val="1"/>
                <c:pt idx="0">
                  <c:v>Lietuva</c:v>
                </c:pt>
              </c:strCache>
            </c:strRef>
          </c:tx>
          <c:spPr>
            <a:solidFill>
              <a:schemeClr val="accent2"/>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Dinamika_valstu_dalījumā'!$C$41:$C$50</c:f>
              <c:numCache>
                <c:formatCode>General</c:formatCode>
                <c:ptCount val="10"/>
                <c:pt idx="0">
                  <c:v>1</c:v>
                </c:pt>
                <c:pt idx="1">
                  <c:v>0</c:v>
                </c:pt>
                <c:pt idx="2">
                  <c:v>2</c:v>
                </c:pt>
                <c:pt idx="3">
                  <c:v>1</c:v>
                </c:pt>
                <c:pt idx="4">
                  <c:v>1</c:v>
                </c:pt>
                <c:pt idx="5">
                  <c:v>1</c:v>
                </c:pt>
                <c:pt idx="6">
                  <c:v>2</c:v>
                </c:pt>
                <c:pt idx="7">
                  <c:v>0</c:v>
                </c:pt>
                <c:pt idx="8">
                  <c:v>0</c:v>
                </c:pt>
                <c:pt idx="9">
                  <c:v>2</c:v>
                </c:pt>
              </c:numCache>
            </c:numRef>
          </c:val>
          <c:extLst>
            <c:ext xmlns:c16="http://schemas.microsoft.com/office/drawing/2014/chart" uri="{C3380CC4-5D6E-409C-BE32-E72D297353CC}">
              <c16:uniqueId val="{00000001-FF61-41C6-84AE-1ECE74167896}"/>
            </c:ext>
          </c:extLst>
        </c:ser>
        <c:ser>
          <c:idx val="2"/>
          <c:order val="2"/>
          <c:tx>
            <c:strRef>
              <c:f>'VIII. Dinamika_valstu_dalījumā'!$D$40</c:f>
              <c:strCache>
                <c:ptCount val="1"/>
                <c:pt idx="0">
                  <c:v>Zviedrija</c:v>
                </c:pt>
              </c:strCache>
            </c:strRef>
          </c:tx>
          <c:spPr>
            <a:solidFill>
              <a:schemeClr val="accent3"/>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Dinamika_valstu_dalījumā'!$D$41:$D$50</c:f>
              <c:numCache>
                <c:formatCode>General</c:formatCode>
                <c:ptCount val="10"/>
                <c:pt idx="0">
                  <c:v>0</c:v>
                </c:pt>
                <c:pt idx="1">
                  <c:v>1</c:v>
                </c:pt>
                <c:pt idx="2">
                  <c:v>1</c:v>
                </c:pt>
                <c:pt idx="3">
                  <c:v>2</c:v>
                </c:pt>
                <c:pt idx="4">
                  <c:v>1</c:v>
                </c:pt>
                <c:pt idx="5">
                  <c:v>2</c:v>
                </c:pt>
                <c:pt idx="6">
                  <c:v>1</c:v>
                </c:pt>
                <c:pt idx="7">
                  <c:v>0</c:v>
                </c:pt>
                <c:pt idx="8">
                  <c:v>1</c:v>
                </c:pt>
                <c:pt idx="9">
                  <c:v>2</c:v>
                </c:pt>
              </c:numCache>
            </c:numRef>
          </c:val>
          <c:extLst>
            <c:ext xmlns:c16="http://schemas.microsoft.com/office/drawing/2014/chart" uri="{C3380CC4-5D6E-409C-BE32-E72D297353CC}">
              <c16:uniqueId val="{00000002-FF61-41C6-84AE-1ECE74167896}"/>
            </c:ext>
          </c:extLst>
        </c:ser>
        <c:ser>
          <c:idx val="3"/>
          <c:order val="3"/>
          <c:tx>
            <c:strRef>
              <c:f>'VIII. Dinamika_valstu_dalījumā'!$E$40</c:f>
              <c:strCache>
                <c:ptCount val="1"/>
                <c:pt idx="0">
                  <c:v>Francija</c:v>
                </c:pt>
              </c:strCache>
            </c:strRef>
          </c:tx>
          <c:spPr>
            <a:solidFill>
              <a:schemeClr val="accent4"/>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Dinamika_valstu_dalījumā'!$E$41:$E$50</c:f>
              <c:numCache>
                <c:formatCode>General</c:formatCode>
                <c:ptCount val="10"/>
                <c:pt idx="0">
                  <c:v>0</c:v>
                </c:pt>
                <c:pt idx="1">
                  <c:v>0</c:v>
                </c:pt>
                <c:pt idx="2">
                  <c:v>0</c:v>
                </c:pt>
                <c:pt idx="3">
                  <c:v>1</c:v>
                </c:pt>
                <c:pt idx="4">
                  <c:v>0</c:v>
                </c:pt>
                <c:pt idx="5">
                  <c:v>0</c:v>
                </c:pt>
                <c:pt idx="6">
                  <c:v>0</c:v>
                </c:pt>
                <c:pt idx="7">
                  <c:v>0</c:v>
                </c:pt>
                <c:pt idx="8">
                  <c:v>1</c:v>
                </c:pt>
                <c:pt idx="9">
                  <c:v>0</c:v>
                </c:pt>
              </c:numCache>
            </c:numRef>
          </c:val>
          <c:extLst>
            <c:ext xmlns:c16="http://schemas.microsoft.com/office/drawing/2014/chart" uri="{C3380CC4-5D6E-409C-BE32-E72D297353CC}">
              <c16:uniqueId val="{00000003-FF61-41C6-84AE-1ECE74167896}"/>
            </c:ext>
          </c:extLst>
        </c:ser>
        <c:ser>
          <c:idx val="4"/>
          <c:order val="4"/>
          <c:tx>
            <c:strRef>
              <c:f>'VIII. Dinamika_valstu_dalījumā'!$F$40</c:f>
              <c:strCache>
                <c:ptCount val="1"/>
                <c:pt idx="0">
                  <c:v>Beļģija</c:v>
                </c:pt>
              </c:strCache>
            </c:strRef>
          </c:tx>
          <c:spPr>
            <a:solidFill>
              <a:schemeClr val="accent5"/>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Dinamika_valstu_dalījumā'!$F$41:$F$50</c:f>
              <c:numCache>
                <c:formatCode>General</c:formatCode>
                <c:ptCount val="10"/>
                <c:pt idx="0">
                  <c:v>0</c:v>
                </c:pt>
                <c:pt idx="1">
                  <c:v>0</c:v>
                </c:pt>
                <c:pt idx="2">
                  <c:v>1</c:v>
                </c:pt>
                <c:pt idx="3">
                  <c:v>0</c:v>
                </c:pt>
                <c:pt idx="4">
                  <c:v>0</c:v>
                </c:pt>
                <c:pt idx="5">
                  <c:v>1</c:v>
                </c:pt>
                <c:pt idx="6">
                  <c:v>0</c:v>
                </c:pt>
                <c:pt idx="7">
                  <c:v>0</c:v>
                </c:pt>
                <c:pt idx="8">
                  <c:v>0</c:v>
                </c:pt>
                <c:pt idx="9">
                  <c:v>0</c:v>
                </c:pt>
              </c:numCache>
            </c:numRef>
          </c:val>
          <c:extLst>
            <c:ext xmlns:c16="http://schemas.microsoft.com/office/drawing/2014/chart" uri="{C3380CC4-5D6E-409C-BE32-E72D297353CC}">
              <c16:uniqueId val="{00000004-FF61-41C6-84AE-1ECE74167896}"/>
            </c:ext>
          </c:extLst>
        </c:ser>
        <c:ser>
          <c:idx val="5"/>
          <c:order val="5"/>
          <c:tx>
            <c:strRef>
              <c:f>'VIII. Dinamika_valstu_dalījumā'!$G$40</c:f>
              <c:strCache>
                <c:ptCount val="1"/>
                <c:pt idx="0">
                  <c:v>Nīderlande</c:v>
                </c:pt>
              </c:strCache>
            </c:strRef>
          </c:tx>
          <c:spPr>
            <a:solidFill>
              <a:schemeClr val="accent6"/>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Dinamika_valstu_dalījumā'!$G$41:$G$50</c:f>
              <c:numCache>
                <c:formatCode>General</c:formatCode>
                <c:ptCount val="10"/>
                <c:pt idx="0">
                  <c:v>0</c:v>
                </c:pt>
                <c:pt idx="1">
                  <c:v>0</c:v>
                </c:pt>
                <c:pt idx="2">
                  <c:v>0</c:v>
                </c:pt>
                <c:pt idx="3">
                  <c:v>0</c:v>
                </c:pt>
                <c:pt idx="4">
                  <c:v>0</c:v>
                </c:pt>
                <c:pt idx="5">
                  <c:v>0</c:v>
                </c:pt>
                <c:pt idx="6">
                  <c:v>0</c:v>
                </c:pt>
                <c:pt idx="7">
                  <c:v>0</c:v>
                </c:pt>
                <c:pt idx="8">
                  <c:v>0</c:v>
                </c:pt>
                <c:pt idx="9">
                  <c:v>1</c:v>
                </c:pt>
              </c:numCache>
            </c:numRef>
          </c:val>
          <c:extLst>
            <c:ext xmlns:c16="http://schemas.microsoft.com/office/drawing/2014/chart" uri="{C3380CC4-5D6E-409C-BE32-E72D297353CC}">
              <c16:uniqueId val="{00000005-FF61-41C6-84AE-1ECE74167896}"/>
            </c:ext>
          </c:extLst>
        </c:ser>
        <c:ser>
          <c:idx val="6"/>
          <c:order val="6"/>
          <c:tx>
            <c:strRef>
              <c:f>'VIII. Dinamika_valstu_dalījumā'!$H$40</c:f>
              <c:strCache>
                <c:ptCount val="1"/>
                <c:pt idx="0">
                  <c:v>Vācija</c:v>
                </c:pt>
              </c:strCache>
            </c:strRef>
          </c:tx>
          <c:spPr>
            <a:solidFill>
              <a:schemeClr val="accent1">
                <a:lumMod val="6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Dinamika_valstu_dalījumā'!$H$41:$H$50</c:f>
              <c:numCache>
                <c:formatCode>General</c:formatCode>
                <c:ptCount val="10"/>
                <c:pt idx="0">
                  <c:v>0</c:v>
                </c:pt>
                <c:pt idx="1">
                  <c:v>0</c:v>
                </c:pt>
                <c:pt idx="2">
                  <c:v>0</c:v>
                </c:pt>
                <c:pt idx="3">
                  <c:v>0</c:v>
                </c:pt>
                <c:pt idx="4">
                  <c:v>1</c:v>
                </c:pt>
                <c:pt idx="5">
                  <c:v>3</c:v>
                </c:pt>
                <c:pt idx="6">
                  <c:v>1</c:v>
                </c:pt>
                <c:pt idx="7">
                  <c:v>0</c:v>
                </c:pt>
                <c:pt idx="8">
                  <c:v>0</c:v>
                </c:pt>
                <c:pt idx="9">
                  <c:v>1</c:v>
                </c:pt>
              </c:numCache>
            </c:numRef>
          </c:val>
          <c:extLst>
            <c:ext xmlns:c16="http://schemas.microsoft.com/office/drawing/2014/chart" uri="{C3380CC4-5D6E-409C-BE32-E72D297353CC}">
              <c16:uniqueId val="{00000006-FF61-41C6-84AE-1ECE74167896}"/>
            </c:ext>
          </c:extLst>
        </c:ser>
        <c:ser>
          <c:idx val="7"/>
          <c:order val="7"/>
          <c:tx>
            <c:strRef>
              <c:f>'VIII. Dinamika_valstu_dalījumā'!$I$40</c:f>
              <c:strCache>
                <c:ptCount val="1"/>
                <c:pt idx="0">
                  <c:v>Polija</c:v>
                </c:pt>
              </c:strCache>
            </c:strRef>
          </c:tx>
          <c:spPr>
            <a:solidFill>
              <a:schemeClr val="accent2">
                <a:lumMod val="6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Dinamika_valstu_dalījumā'!$I$41:$I$50</c:f>
              <c:numCache>
                <c:formatCode>General</c:formatCode>
                <c:ptCount val="10"/>
                <c:pt idx="0">
                  <c:v>0</c:v>
                </c:pt>
                <c:pt idx="1">
                  <c:v>0</c:v>
                </c:pt>
                <c:pt idx="2">
                  <c:v>0</c:v>
                </c:pt>
                <c:pt idx="3">
                  <c:v>0</c:v>
                </c:pt>
                <c:pt idx="4">
                  <c:v>0</c:v>
                </c:pt>
                <c:pt idx="5">
                  <c:v>1</c:v>
                </c:pt>
                <c:pt idx="6">
                  <c:v>0</c:v>
                </c:pt>
                <c:pt idx="7">
                  <c:v>0</c:v>
                </c:pt>
                <c:pt idx="8">
                  <c:v>0</c:v>
                </c:pt>
                <c:pt idx="9">
                  <c:v>0</c:v>
                </c:pt>
              </c:numCache>
            </c:numRef>
          </c:val>
          <c:extLst>
            <c:ext xmlns:c16="http://schemas.microsoft.com/office/drawing/2014/chart" uri="{C3380CC4-5D6E-409C-BE32-E72D297353CC}">
              <c16:uniqueId val="{00000007-FF61-41C6-84AE-1ECE74167896}"/>
            </c:ext>
          </c:extLst>
        </c:ser>
        <c:ser>
          <c:idx val="8"/>
          <c:order val="8"/>
          <c:tx>
            <c:strRef>
              <c:f>'VIII. Dinamika_valstu_dalījumā'!$J$40</c:f>
              <c:strCache>
                <c:ptCount val="1"/>
                <c:pt idx="0">
                  <c:v>Dānija</c:v>
                </c:pt>
              </c:strCache>
            </c:strRef>
          </c:tx>
          <c:spPr>
            <a:solidFill>
              <a:schemeClr val="accent3">
                <a:lumMod val="6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Dinamika_valstu_dalījumā'!$J$41:$J$50</c:f>
              <c:numCache>
                <c:formatCode>General</c:formatCode>
                <c:ptCount val="10"/>
                <c:pt idx="0">
                  <c:v>0</c:v>
                </c:pt>
                <c:pt idx="1">
                  <c:v>0</c:v>
                </c:pt>
                <c:pt idx="2">
                  <c:v>0</c:v>
                </c:pt>
                <c:pt idx="3">
                  <c:v>0</c:v>
                </c:pt>
                <c:pt idx="4">
                  <c:v>0</c:v>
                </c:pt>
                <c:pt idx="5">
                  <c:v>1</c:v>
                </c:pt>
                <c:pt idx="6">
                  <c:v>0</c:v>
                </c:pt>
                <c:pt idx="7">
                  <c:v>1</c:v>
                </c:pt>
                <c:pt idx="8">
                  <c:v>0</c:v>
                </c:pt>
                <c:pt idx="9">
                  <c:v>0</c:v>
                </c:pt>
              </c:numCache>
            </c:numRef>
          </c:val>
          <c:extLst>
            <c:ext xmlns:c16="http://schemas.microsoft.com/office/drawing/2014/chart" uri="{C3380CC4-5D6E-409C-BE32-E72D297353CC}">
              <c16:uniqueId val="{00000008-FF61-41C6-84AE-1ECE74167896}"/>
            </c:ext>
          </c:extLst>
        </c:ser>
        <c:ser>
          <c:idx val="9"/>
          <c:order val="9"/>
          <c:tx>
            <c:strRef>
              <c:f>'VIII. Dinamika_valstu_dalījumā'!$K$40</c:f>
              <c:strCache>
                <c:ptCount val="1"/>
                <c:pt idx="0">
                  <c:v>Austrija</c:v>
                </c:pt>
              </c:strCache>
            </c:strRef>
          </c:tx>
          <c:spPr>
            <a:solidFill>
              <a:schemeClr val="accent4">
                <a:lumMod val="6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Dinamika_valstu_dalījumā'!$K$41:$K$50</c:f>
              <c:numCache>
                <c:formatCode>General</c:formatCode>
                <c:ptCount val="10"/>
                <c:pt idx="0">
                  <c:v>0</c:v>
                </c:pt>
                <c:pt idx="1">
                  <c:v>0</c:v>
                </c:pt>
                <c:pt idx="2">
                  <c:v>0</c:v>
                </c:pt>
                <c:pt idx="3">
                  <c:v>0</c:v>
                </c:pt>
                <c:pt idx="4">
                  <c:v>1</c:v>
                </c:pt>
                <c:pt idx="5">
                  <c:v>2</c:v>
                </c:pt>
                <c:pt idx="6">
                  <c:v>0</c:v>
                </c:pt>
                <c:pt idx="7">
                  <c:v>0</c:v>
                </c:pt>
                <c:pt idx="8">
                  <c:v>0</c:v>
                </c:pt>
                <c:pt idx="9">
                  <c:v>2</c:v>
                </c:pt>
              </c:numCache>
            </c:numRef>
          </c:val>
          <c:extLst>
            <c:ext xmlns:c16="http://schemas.microsoft.com/office/drawing/2014/chart" uri="{C3380CC4-5D6E-409C-BE32-E72D297353CC}">
              <c16:uniqueId val="{00000009-FF61-41C6-84AE-1ECE74167896}"/>
            </c:ext>
          </c:extLst>
        </c:ser>
        <c:ser>
          <c:idx val="10"/>
          <c:order val="10"/>
          <c:tx>
            <c:strRef>
              <c:f>'VIII. Dinamika_valstu_dalījumā'!$L$40</c:f>
              <c:strCache>
                <c:ptCount val="1"/>
                <c:pt idx="0">
                  <c:v>Somija</c:v>
                </c:pt>
              </c:strCache>
            </c:strRef>
          </c:tx>
          <c:spPr>
            <a:solidFill>
              <a:schemeClr val="accent5">
                <a:lumMod val="6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Dinamika_valstu_dalījumā'!$L$41:$L$50</c:f>
              <c:numCache>
                <c:formatCode>General</c:formatCode>
                <c:ptCount val="10"/>
                <c:pt idx="0">
                  <c:v>0</c:v>
                </c:pt>
                <c:pt idx="1">
                  <c:v>0</c:v>
                </c:pt>
                <c:pt idx="2">
                  <c:v>0</c:v>
                </c:pt>
                <c:pt idx="3">
                  <c:v>0</c:v>
                </c:pt>
                <c:pt idx="4">
                  <c:v>1</c:v>
                </c:pt>
                <c:pt idx="5">
                  <c:v>0</c:v>
                </c:pt>
                <c:pt idx="6">
                  <c:v>0</c:v>
                </c:pt>
                <c:pt idx="7">
                  <c:v>0</c:v>
                </c:pt>
                <c:pt idx="8">
                  <c:v>0</c:v>
                </c:pt>
                <c:pt idx="9">
                  <c:v>0</c:v>
                </c:pt>
              </c:numCache>
            </c:numRef>
          </c:val>
          <c:extLst>
            <c:ext xmlns:c16="http://schemas.microsoft.com/office/drawing/2014/chart" uri="{C3380CC4-5D6E-409C-BE32-E72D297353CC}">
              <c16:uniqueId val="{0000000B-FF61-41C6-84AE-1ECE74167896}"/>
            </c:ext>
          </c:extLst>
        </c:ser>
        <c:ser>
          <c:idx val="11"/>
          <c:order val="11"/>
          <c:tx>
            <c:strRef>
              <c:f>'VIII. Dinamika_valstu_dalījumā'!$M$40</c:f>
              <c:strCache>
                <c:ptCount val="1"/>
                <c:pt idx="0">
                  <c:v>Igaunija</c:v>
                </c:pt>
              </c:strCache>
            </c:strRef>
          </c:tx>
          <c:spPr>
            <a:solidFill>
              <a:schemeClr val="accent6">
                <a:lumMod val="6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Dinamika_valstu_dalījumā'!$M$41:$M$50</c:f>
              <c:numCache>
                <c:formatCode>General</c:formatCode>
                <c:ptCount val="10"/>
                <c:pt idx="0">
                  <c:v>0</c:v>
                </c:pt>
                <c:pt idx="1">
                  <c:v>0</c:v>
                </c:pt>
                <c:pt idx="2">
                  <c:v>0</c:v>
                </c:pt>
                <c:pt idx="3">
                  <c:v>0</c:v>
                </c:pt>
                <c:pt idx="4">
                  <c:v>0</c:v>
                </c:pt>
                <c:pt idx="5">
                  <c:v>0</c:v>
                </c:pt>
                <c:pt idx="6">
                  <c:v>2</c:v>
                </c:pt>
                <c:pt idx="7">
                  <c:v>0</c:v>
                </c:pt>
                <c:pt idx="8">
                  <c:v>0</c:v>
                </c:pt>
                <c:pt idx="9">
                  <c:v>0</c:v>
                </c:pt>
              </c:numCache>
            </c:numRef>
          </c:val>
          <c:extLst>
            <c:ext xmlns:c16="http://schemas.microsoft.com/office/drawing/2014/chart" uri="{C3380CC4-5D6E-409C-BE32-E72D297353CC}">
              <c16:uniqueId val="{0000000C-FF61-41C6-84AE-1ECE74167896}"/>
            </c:ext>
          </c:extLst>
        </c:ser>
        <c:ser>
          <c:idx val="12"/>
          <c:order val="12"/>
          <c:tx>
            <c:strRef>
              <c:f>'VIII. Dinamika_valstu_dalījumā'!$N$40</c:f>
              <c:strCache>
                <c:ptCount val="1"/>
                <c:pt idx="0">
                  <c:v>Čehija</c:v>
                </c:pt>
              </c:strCache>
            </c:strRef>
          </c:tx>
          <c:spPr>
            <a:solidFill>
              <a:schemeClr val="accent1">
                <a:lumMod val="80000"/>
                <a:lumOff val="2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Dinamika_valstu_dalījumā'!$N$41:$N$50</c:f>
              <c:numCache>
                <c:formatCode>General</c:formatCode>
                <c:ptCount val="10"/>
                <c:pt idx="0">
                  <c:v>0</c:v>
                </c:pt>
                <c:pt idx="1">
                  <c:v>0</c:v>
                </c:pt>
                <c:pt idx="2">
                  <c:v>0</c:v>
                </c:pt>
                <c:pt idx="3">
                  <c:v>0</c:v>
                </c:pt>
                <c:pt idx="4">
                  <c:v>0</c:v>
                </c:pt>
                <c:pt idx="5">
                  <c:v>0</c:v>
                </c:pt>
                <c:pt idx="6">
                  <c:v>1</c:v>
                </c:pt>
                <c:pt idx="7">
                  <c:v>0</c:v>
                </c:pt>
                <c:pt idx="8">
                  <c:v>0</c:v>
                </c:pt>
                <c:pt idx="9">
                  <c:v>1</c:v>
                </c:pt>
              </c:numCache>
            </c:numRef>
          </c:val>
          <c:extLst>
            <c:ext xmlns:c16="http://schemas.microsoft.com/office/drawing/2014/chart" uri="{C3380CC4-5D6E-409C-BE32-E72D297353CC}">
              <c16:uniqueId val="{0000000D-FF61-41C6-84AE-1ECE74167896}"/>
            </c:ext>
          </c:extLst>
        </c:ser>
        <c:ser>
          <c:idx val="13"/>
          <c:order val="13"/>
          <c:tx>
            <c:strRef>
              <c:f>'VIII. Dinamika_valstu_dalījumā'!$O$40</c:f>
              <c:strCache>
                <c:ptCount val="1"/>
                <c:pt idx="0">
                  <c:v>ASV</c:v>
                </c:pt>
              </c:strCache>
            </c:strRef>
          </c:tx>
          <c:spPr>
            <a:solidFill>
              <a:schemeClr val="accent2">
                <a:lumMod val="80000"/>
                <a:lumOff val="2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Dinamika_valstu_dalījumā'!$O$41:$O$50</c:f>
              <c:numCache>
                <c:formatCode>General</c:formatCode>
                <c:ptCount val="10"/>
                <c:pt idx="0">
                  <c:v>0</c:v>
                </c:pt>
                <c:pt idx="1">
                  <c:v>1</c:v>
                </c:pt>
                <c:pt idx="2">
                  <c:v>1</c:v>
                </c:pt>
                <c:pt idx="3">
                  <c:v>2</c:v>
                </c:pt>
                <c:pt idx="4">
                  <c:v>0</c:v>
                </c:pt>
                <c:pt idx="5">
                  <c:v>2</c:v>
                </c:pt>
                <c:pt idx="6">
                  <c:v>1</c:v>
                </c:pt>
                <c:pt idx="7">
                  <c:v>0</c:v>
                </c:pt>
                <c:pt idx="8">
                  <c:v>2</c:v>
                </c:pt>
                <c:pt idx="9">
                  <c:v>0</c:v>
                </c:pt>
              </c:numCache>
            </c:numRef>
          </c:val>
          <c:extLst>
            <c:ext xmlns:c16="http://schemas.microsoft.com/office/drawing/2014/chart" uri="{C3380CC4-5D6E-409C-BE32-E72D297353CC}">
              <c16:uniqueId val="{0000000E-FF61-41C6-84AE-1ECE74167896}"/>
            </c:ext>
          </c:extLst>
        </c:ser>
        <c:ser>
          <c:idx val="14"/>
          <c:order val="14"/>
          <c:tx>
            <c:strRef>
              <c:f>'VIII. Dinamika_valstu_dalījumā'!$P$40</c:f>
              <c:strCache>
                <c:ptCount val="1"/>
                <c:pt idx="0">
                  <c:v>Lielbritānija</c:v>
                </c:pt>
              </c:strCache>
            </c:strRef>
          </c:tx>
          <c:spPr>
            <a:solidFill>
              <a:schemeClr val="accent3">
                <a:lumMod val="80000"/>
                <a:lumOff val="2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Dinamika_valstu_dalījumā'!$P$41:$P$50</c:f>
              <c:numCache>
                <c:formatCode>General</c:formatCode>
                <c:ptCount val="10"/>
                <c:pt idx="0">
                  <c:v>0</c:v>
                </c:pt>
                <c:pt idx="1">
                  <c:v>0</c:v>
                </c:pt>
                <c:pt idx="2">
                  <c:v>0</c:v>
                </c:pt>
                <c:pt idx="3">
                  <c:v>1</c:v>
                </c:pt>
                <c:pt idx="4">
                  <c:v>0</c:v>
                </c:pt>
                <c:pt idx="5">
                  <c:v>1</c:v>
                </c:pt>
                <c:pt idx="6">
                  <c:v>3</c:v>
                </c:pt>
                <c:pt idx="7">
                  <c:v>2</c:v>
                </c:pt>
                <c:pt idx="8">
                  <c:v>0</c:v>
                </c:pt>
                <c:pt idx="9">
                  <c:v>1</c:v>
                </c:pt>
              </c:numCache>
            </c:numRef>
          </c:val>
          <c:extLst>
            <c:ext xmlns:c16="http://schemas.microsoft.com/office/drawing/2014/chart" uri="{C3380CC4-5D6E-409C-BE32-E72D297353CC}">
              <c16:uniqueId val="{0000000F-FF61-41C6-84AE-1ECE74167896}"/>
            </c:ext>
          </c:extLst>
        </c:ser>
        <c:ser>
          <c:idx val="15"/>
          <c:order val="15"/>
          <c:tx>
            <c:strRef>
              <c:f>'VIII. Dinamika_valstu_dalījumā'!$Q$40</c:f>
              <c:strCache>
                <c:ptCount val="1"/>
                <c:pt idx="0">
                  <c:v>Brazīlija</c:v>
                </c:pt>
              </c:strCache>
            </c:strRef>
          </c:tx>
          <c:spPr>
            <a:solidFill>
              <a:schemeClr val="accent4">
                <a:lumMod val="80000"/>
                <a:lumOff val="2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Dinamika_valstu_dalījumā'!$Q$41:$Q$50</c:f>
              <c:numCache>
                <c:formatCode>General</c:formatCode>
                <c:ptCount val="10"/>
                <c:pt idx="0">
                  <c:v>0</c:v>
                </c:pt>
                <c:pt idx="1">
                  <c:v>0</c:v>
                </c:pt>
                <c:pt idx="2">
                  <c:v>0</c:v>
                </c:pt>
                <c:pt idx="3">
                  <c:v>0</c:v>
                </c:pt>
                <c:pt idx="4">
                  <c:v>0</c:v>
                </c:pt>
                <c:pt idx="5">
                  <c:v>0</c:v>
                </c:pt>
                <c:pt idx="6">
                  <c:v>1</c:v>
                </c:pt>
                <c:pt idx="7">
                  <c:v>0</c:v>
                </c:pt>
                <c:pt idx="8">
                  <c:v>0</c:v>
                </c:pt>
                <c:pt idx="9">
                  <c:v>0</c:v>
                </c:pt>
              </c:numCache>
            </c:numRef>
          </c:val>
          <c:extLst>
            <c:ext xmlns:c16="http://schemas.microsoft.com/office/drawing/2014/chart" uri="{C3380CC4-5D6E-409C-BE32-E72D297353CC}">
              <c16:uniqueId val="{00000010-FF61-41C6-84AE-1ECE74167896}"/>
            </c:ext>
          </c:extLst>
        </c:ser>
        <c:ser>
          <c:idx val="16"/>
          <c:order val="16"/>
          <c:tx>
            <c:strRef>
              <c:f>'VIII. Dinamika_valstu_dalījumā'!$R$40</c:f>
              <c:strCache>
                <c:ptCount val="1"/>
                <c:pt idx="0">
                  <c:v>Šveice</c:v>
                </c:pt>
              </c:strCache>
            </c:strRef>
          </c:tx>
          <c:spPr>
            <a:solidFill>
              <a:schemeClr val="accent5">
                <a:lumMod val="80000"/>
                <a:lumOff val="2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Dinamika_valstu_dalījumā'!$R$41:$R$50</c:f>
              <c:numCache>
                <c:formatCode>General</c:formatCode>
                <c:ptCount val="10"/>
                <c:pt idx="0">
                  <c:v>0</c:v>
                </c:pt>
                <c:pt idx="1">
                  <c:v>0</c:v>
                </c:pt>
                <c:pt idx="2">
                  <c:v>0</c:v>
                </c:pt>
                <c:pt idx="3">
                  <c:v>0</c:v>
                </c:pt>
                <c:pt idx="4">
                  <c:v>0</c:v>
                </c:pt>
                <c:pt idx="5">
                  <c:v>0</c:v>
                </c:pt>
                <c:pt idx="6">
                  <c:v>3</c:v>
                </c:pt>
                <c:pt idx="7">
                  <c:v>0</c:v>
                </c:pt>
                <c:pt idx="8">
                  <c:v>0</c:v>
                </c:pt>
                <c:pt idx="9">
                  <c:v>2</c:v>
                </c:pt>
              </c:numCache>
            </c:numRef>
          </c:val>
          <c:extLst>
            <c:ext xmlns:c16="http://schemas.microsoft.com/office/drawing/2014/chart" uri="{C3380CC4-5D6E-409C-BE32-E72D297353CC}">
              <c16:uniqueId val="{00000011-FF61-41C6-84AE-1ECE74167896}"/>
            </c:ext>
          </c:extLst>
        </c:ser>
        <c:ser>
          <c:idx val="17"/>
          <c:order val="17"/>
          <c:tx>
            <c:strRef>
              <c:f>'VIII. Dinamika_valstu_dalījumā'!$S$40</c:f>
              <c:strCache>
                <c:ptCount val="1"/>
                <c:pt idx="0">
                  <c:v>Krievija</c:v>
                </c:pt>
              </c:strCache>
            </c:strRef>
          </c:tx>
          <c:spPr>
            <a:solidFill>
              <a:schemeClr val="accent6">
                <a:lumMod val="80000"/>
                <a:lumOff val="2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Dinamika_valstu_dalījumā'!$S$41:$S$50</c:f>
              <c:numCache>
                <c:formatCode>General</c:formatCode>
                <c:ptCount val="10"/>
                <c:pt idx="0">
                  <c:v>0</c:v>
                </c:pt>
                <c:pt idx="1">
                  <c:v>0</c:v>
                </c:pt>
                <c:pt idx="2">
                  <c:v>0</c:v>
                </c:pt>
                <c:pt idx="3">
                  <c:v>1</c:v>
                </c:pt>
                <c:pt idx="4">
                  <c:v>0</c:v>
                </c:pt>
                <c:pt idx="5">
                  <c:v>0</c:v>
                </c:pt>
                <c:pt idx="6">
                  <c:v>0</c:v>
                </c:pt>
                <c:pt idx="7">
                  <c:v>0</c:v>
                </c:pt>
                <c:pt idx="8">
                  <c:v>0</c:v>
                </c:pt>
                <c:pt idx="9">
                  <c:v>0</c:v>
                </c:pt>
              </c:numCache>
            </c:numRef>
          </c:val>
          <c:extLst>
            <c:ext xmlns:c16="http://schemas.microsoft.com/office/drawing/2014/chart" uri="{C3380CC4-5D6E-409C-BE32-E72D297353CC}">
              <c16:uniqueId val="{00000012-FF61-41C6-84AE-1ECE74167896}"/>
            </c:ext>
          </c:extLst>
        </c:ser>
        <c:ser>
          <c:idx val="18"/>
          <c:order val="18"/>
          <c:tx>
            <c:strRef>
              <c:f>'VIII. Dinamika_valstu_dalījumā'!$T$40</c:f>
              <c:strCache>
                <c:ptCount val="1"/>
                <c:pt idx="0">
                  <c:v>Izraēla</c:v>
                </c:pt>
              </c:strCache>
            </c:strRef>
          </c:tx>
          <c:spPr>
            <a:solidFill>
              <a:schemeClr val="accent1">
                <a:lumMod val="8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Dinamika_valstu_dalījumā'!$T$41:$T$50</c:f>
              <c:numCache>
                <c:formatCode>General</c:formatCode>
                <c:ptCount val="10"/>
                <c:pt idx="0">
                  <c:v>0</c:v>
                </c:pt>
                <c:pt idx="1">
                  <c:v>0</c:v>
                </c:pt>
                <c:pt idx="2">
                  <c:v>0</c:v>
                </c:pt>
                <c:pt idx="3">
                  <c:v>0</c:v>
                </c:pt>
                <c:pt idx="4">
                  <c:v>0</c:v>
                </c:pt>
                <c:pt idx="5">
                  <c:v>1</c:v>
                </c:pt>
                <c:pt idx="6">
                  <c:v>0</c:v>
                </c:pt>
                <c:pt idx="7">
                  <c:v>0</c:v>
                </c:pt>
                <c:pt idx="8">
                  <c:v>0</c:v>
                </c:pt>
                <c:pt idx="9">
                  <c:v>0</c:v>
                </c:pt>
              </c:numCache>
            </c:numRef>
          </c:val>
          <c:extLst>
            <c:ext xmlns:c16="http://schemas.microsoft.com/office/drawing/2014/chart" uri="{C3380CC4-5D6E-409C-BE32-E72D297353CC}">
              <c16:uniqueId val="{00000013-FF61-41C6-84AE-1ECE74167896}"/>
            </c:ext>
          </c:extLst>
        </c:ser>
        <c:ser>
          <c:idx val="19"/>
          <c:order val="19"/>
          <c:tx>
            <c:strRef>
              <c:f>'VIII. Dinamika_valstu_dalījumā'!$U$40</c:f>
              <c:strCache>
                <c:ptCount val="1"/>
                <c:pt idx="0">
                  <c:v>Norvēģija</c:v>
                </c:pt>
              </c:strCache>
            </c:strRef>
          </c:tx>
          <c:spPr>
            <a:solidFill>
              <a:schemeClr val="accent2">
                <a:lumMod val="8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Dinamika_valstu_dalījumā'!$U$41:$U$50</c:f>
              <c:numCache>
                <c:formatCode>General</c:formatCode>
                <c:ptCount val="10"/>
                <c:pt idx="0">
                  <c:v>0</c:v>
                </c:pt>
                <c:pt idx="1">
                  <c:v>0</c:v>
                </c:pt>
                <c:pt idx="2">
                  <c:v>0</c:v>
                </c:pt>
                <c:pt idx="3">
                  <c:v>1</c:v>
                </c:pt>
                <c:pt idx="4">
                  <c:v>1</c:v>
                </c:pt>
                <c:pt idx="5">
                  <c:v>0</c:v>
                </c:pt>
                <c:pt idx="6">
                  <c:v>1</c:v>
                </c:pt>
                <c:pt idx="7">
                  <c:v>0</c:v>
                </c:pt>
                <c:pt idx="8">
                  <c:v>0</c:v>
                </c:pt>
                <c:pt idx="9">
                  <c:v>0</c:v>
                </c:pt>
              </c:numCache>
            </c:numRef>
          </c:val>
          <c:extLst>
            <c:ext xmlns:c16="http://schemas.microsoft.com/office/drawing/2014/chart" uri="{C3380CC4-5D6E-409C-BE32-E72D297353CC}">
              <c16:uniqueId val="{00000014-FF61-41C6-84AE-1ECE74167896}"/>
            </c:ext>
          </c:extLst>
        </c:ser>
        <c:ser>
          <c:idx val="20"/>
          <c:order val="20"/>
          <c:tx>
            <c:strRef>
              <c:f>'VIII. Dinamika_valstu_dalījumā'!$V$40</c:f>
              <c:strCache>
                <c:ptCount val="1"/>
                <c:pt idx="0">
                  <c:v>Kanāda</c:v>
                </c:pt>
              </c:strCache>
            </c:strRef>
          </c:tx>
          <c:spPr>
            <a:solidFill>
              <a:schemeClr val="accent3">
                <a:lumMod val="80000"/>
              </a:schemeClr>
            </a:solidFill>
            <a:ln>
              <a:noFill/>
            </a:ln>
            <a:effectLst/>
          </c:spPr>
          <c:invertIfNegative val="0"/>
          <c:cat>
            <c:strRef>
              <c:f>'VIII. Dinamika_valstu_dalījumā'!$A$41:$A$50</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'VIII. Dinamika_valstu_dalījumā'!$V$41:$V$50</c:f>
              <c:numCache>
                <c:formatCode>General</c:formatCode>
                <c:ptCount val="10"/>
                <c:pt idx="0">
                  <c:v>0</c:v>
                </c:pt>
                <c:pt idx="1">
                  <c:v>0</c:v>
                </c:pt>
                <c:pt idx="2">
                  <c:v>0</c:v>
                </c:pt>
                <c:pt idx="3">
                  <c:v>0</c:v>
                </c:pt>
                <c:pt idx="4">
                  <c:v>0</c:v>
                </c:pt>
                <c:pt idx="5">
                  <c:v>0</c:v>
                </c:pt>
                <c:pt idx="6">
                  <c:v>0</c:v>
                </c:pt>
                <c:pt idx="7">
                  <c:v>1</c:v>
                </c:pt>
                <c:pt idx="8">
                  <c:v>0</c:v>
                </c:pt>
                <c:pt idx="9">
                  <c:v>0</c:v>
                </c:pt>
              </c:numCache>
            </c:numRef>
          </c:val>
          <c:extLst>
            <c:ext xmlns:c16="http://schemas.microsoft.com/office/drawing/2014/chart" uri="{C3380CC4-5D6E-409C-BE32-E72D297353CC}">
              <c16:uniqueId val="{00000015-FF61-41C6-84AE-1ECE74167896}"/>
            </c:ext>
          </c:extLst>
        </c:ser>
        <c:dLbls>
          <c:showLegendKey val="0"/>
          <c:showVal val="0"/>
          <c:showCatName val="0"/>
          <c:showSerName val="0"/>
          <c:showPercent val="0"/>
          <c:showBubbleSize val="0"/>
        </c:dLbls>
        <c:gapWidth val="219"/>
        <c:overlap val="-27"/>
        <c:axId val="1377726000"/>
        <c:axId val="1377726832"/>
      </c:barChart>
      <c:catAx>
        <c:axId val="1377726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377726832"/>
        <c:crosses val="autoZero"/>
        <c:auto val="1"/>
        <c:lblAlgn val="ctr"/>
        <c:lblOffset val="100"/>
        <c:noMultiLvlLbl val="0"/>
      </c:catAx>
      <c:valAx>
        <c:axId val="13777268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37772600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Aizsardzības un drošības jomas virs ES līgumcenu sliekšņa piemēroto sarunu procedūru skaita un līgumcenu sadalījums pa gadiem</a:t>
            </a:r>
            <a:endParaRPr lang="lv-LV" b="1"/>
          </a:p>
        </c:rich>
      </c:tx>
      <c:layout>
        <c:manualLayout>
          <c:xMode val="edge"/>
          <c:yMode val="edge"/>
          <c:x val="0.1258832281235617"/>
          <c:y val="2.314814814814814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X.Procedūru_dinamika!$I$24</c:f>
              <c:strCache>
                <c:ptCount val="1"/>
                <c:pt idx="0">
                  <c:v>2012.gads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X.Procedūru_dinamika!$J$24:$M$24</c:f>
              <c:numCache>
                <c:formatCode>0.0%</c:formatCode>
                <c:ptCount val="4"/>
                <c:pt idx="0">
                  <c:v>0</c:v>
                </c:pt>
                <c:pt idx="1">
                  <c:v>0</c:v>
                </c:pt>
                <c:pt idx="2">
                  <c:v>1</c:v>
                </c:pt>
                <c:pt idx="3">
                  <c:v>1</c:v>
                </c:pt>
              </c:numCache>
            </c:numRef>
          </c:val>
          <c:extLst>
            <c:ext xmlns:c16="http://schemas.microsoft.com/office/drawing/2014/chart" uri="{C3380CC4-5D6E-409C-BE32-E72D297353CC}">
              <c16:uniqueId val="{00000000-FAF3-4338-9C23-47245020789F}"/>
            </c:ext>
          </c:extLst>
        </c:ser>
        <c:ser>
          <c:idx val="1"/>
          <c:order val="1"/>
          <c:tx>
            <c:strRef>
              <c:f>X.Procedūru_dinamika!$I$25</c:f>
              <c:strCache>
                <c:ptCount val="1"/>
                <c:pt idx="0">
                  <c:v>2013.gads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X.Procedūru_dinamika!$J$25:$M$25</c:f>
              <c:numCache>
                <c:formatCode>0.0%</c:formatCode>
                <c:ptCount val="4"/>
                <c:pt idx="0">
                  <c:v>1</c:v>
                </c:pt>
                <c:pt idx="1">
                  <c:v>1</c:v>
                </c:pt>
                <c:pt idx="2">
                  <c:v>0</c:v>
                </c:pt>
                <c:pt idx="3">
                  <c:v>0</c:v>
                </c:pt>
              </c:numCache>
            </c:numRef>
          </c:val>
          <c:extLst>
            <c:ext xmlns:c16="http://schemas.microsoft.com/office/drawing/2014/chart" uri="{C3380CC4-5D6E-409C-BE32-E72D297353CC}">
              <c16:uniqueId val="{00000001-FAF3-4338-9C23-47245020789F}"/>
            </c:ext>
          </c:extLst>
        </c:ser>
        <c:ser>
          <c:idx val="2"/>
          <c:order val="2"/>
          <c:tx>
            <c:strRef>
              <c:f>X.Procedūru_dinamika!$I$26</c:f>
              <c:strCache>
                <c:ptCount val="1"/>
                <c:pt idx="0">
                  <c:v>2014.gads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X.Procedūru_dinamika!$J$26:$M$26</c:f>
              <c:numCache>
                <c:formatCode>0.0%</c:formatCode>
                <c:ptCount val="4"/>
                <c:pt idx="0">
                  <c:v>0.75</c:v>
                </c:pt>
                <c:pt idx="1">
                  <c:v>0.67</c:v>
                </c:pt>
                <c:pt idx="2">
                  <c:v>0.25</c:v>
                </c:pt>
                <c:pt idx="3">
                  <c:v>0.33</c:v>
                </c:pt>
              </c:numCache>
            </c:numRef>
          </c:val>
          <c:extLst>
            <c:ext xmlns:c16="http://schemas.microsoft.com/office/drawing/2014/chart" uri="{C3380CC4-5D6E-409C-BE32-E72D297353CC}">
              <c16:uniqueId val="{00000002-FAF3-4338-9C23-47245020789F}"/>
            </c:ext>
          </c:extLst>
        </c:ser>
        <c:ser>
          <c:idx val="3"/>
          <c:order val="3"/>
          <c:tx>
            <c:strRef>
              <c:f>X.Procedūru_dinamika!$I$27</c:f>
              <c:strCache>
                <c:ptCount val="1"/>
                <c:pt idx="0">
                  <c:v>2015.gads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X.Procedūru_dinamika!$J$27:$M$27</c:f>
              <c:numCache>
                <c:formatCode>0.0%</c:formatCode>
                <c:ptCount val="4"/>
                <c:pt idx="0">
                  <c:v>0.63600000000000001</c:v>
                </c:pt>
                <c:pt idx="1">
                  <c:v>0.95599999999999996</c:v>
                </c:pt>
                <c:pt idx="2">
                  <c:v>0.36399999999999999</c:v>
                </c:pt>
                <c:pt idx="3">
                  <c:v>4.3999999999999997E-2</c:v>
                </c:pt>
              </c:numCache>
            </c:numRef>
          </c:val>
          <c:extLst>
            <c:ext xmlns:c16="http://schemas.microsoft.com/office/drawing/2014/chart" uri="{C3380CC4-5D6E-409C-BE32-E72D297353CC}">
              <c16:uniqueId val="{00000003-FAF3-4338-9C23-47245020789F}"/>
            </c:ext>
          </c:extLst>
        </c:ser>
        <c:ser>
          <c:idx val="4"/>
          <c:order val="4"/>
          <c:tx>
            <c:strRef>
              <c:f>X.Procedūru_dinamika!$I$28</c:f>
              <c:strCache>
                <c:ptCount val="1"/>
                <c:pt idx="0">
                  <c:v>2016.gads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X.Procedūru_dinamika!$J$28:$M$28</c:f>
              <c:numCache>
                <c:formatCode>0.0%</c:formatCode>
                <c:ptCount val="4"/>
                <c:pt idx="0">
                  <c:v>0.75</c:v>
                </c:pt>
                <c:pt idx="1">
                  <c:v>0.85899999999999999</c:v>
                </c:pt>
                <c:pt idx="2">
                  <c:v>0.25</c:v>
                </c:pt>
                <c:pt idx="3">
                  <c:v>0.14099999999999999</c:v>
                </c:pt>
              </c:numCache>
            </c:numRef>
          </c:val>
          <c:extLst>
            <c:ext xmlns:c16="http://schemas.microsoft.com/office/drawing/2014/chart" uri="{C3380CC4-5D6E-409C-BE32-E72D297353CC}">
              <c16:uniqueId val="{00000004-FAF3-4338-9C23-47245020789F}"/>
            </c:ext>
          </c:extLst>
        </c:ser>
        <c:ser>
          <c:idx val="5"/>
          <c:order val="5"/>
          <c:tx>
            <c:strRef>
              <c:f>X.Procedūru_dinamika!$I$29</c:f>
              <c:strCache>
                <c:ptCount val="1"/>
                <c:pt idx="0">
                  <c:v>2017.gads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X.Procedūru_dinamika!$J$29:$M$29</c:f>
              <c:numCache>
                <c:formatCode>0.0%</c:formatCode>
                <c:ptCount val="4"/>
                <c:pt idx="0">
                  <c:v>0.44400000000000001</c:v>
                </c:pt>
                <c:pt idx="1">
                  <c:v>0.32400000000000001</c:v>
                </c:pt>
                <c:pt idx="2">
                  <c:v>0.55600000000000005</c:v>
                </c:pt>
                <c:pt idx="3">
                  <c:v>0.67600000000000005</c:v>
                </c:pt>
              </c:numCache>
            </c:numRef>
          </c:val>
          <c:extLst>
            <c:ext xmlns:c16="http://schemas.microsoft.com/office/drawing/2014/chart" uri="{C3380CC4-5D6E-409C-BE32-E72D297353CC}">
              <c16:uniqueId val="{00000005-FAF3-4338-9C23-47245020789F}"/>
            </c:ext>
          </c:extLst>
        </c:ser>
        <c:ser>
          <c:idx val="6"/>
          <c:order val="6"/>
          <c:tx>
            <c:strRef>
              <c:f>X.Procedūru_dinamika!$I$30</c:f>
              <c:strCache>
                <c:ptCount val="1"/>
                <c:pt idx="0">
                  <c:v>2018.gads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X.Procedūru_dinamika!$J$30:$M$30</c:f>
              <c:numCache>
                <c:formatCode>0.0%</c:formatCode>
                <c:ptCount val="4"/>
                <c:pt idx="0">
                  <c:v>0.5</c:v>
                </c:pt>
                <c:pt idx="1">
                  <c:v>0.32977338850895238</c:v>
                </c:pt>
                <c:pt idx="2">
                  <c:v>0.5</c:v>
                </c:pt>
                <c:pt idx="3">
                  <c:v>0.67</c:v>
                </c:pt>
              </c:numCache>
            </c:numRef>
          </c:val>
          <c:extLst>
            <c:ext xmlns:c16="http://schemas.microsoft.com/office/drawing/2014/chart" uri="{C3380CC4-5D6E-409C-BE32-E72D297353CC}">
              <c16:uniqueId val="{00000006-FAF3-4338-9C23-47245020789F}"/>
            </c:ext>
          </c:extLst>
        </c:ser>
        <c:ser>
          <c:idx val="7"/>
          <c:order val="7"/>
          <c:tx>
            <c:strRef>
              <c:f>X.Procedūru_dinamika!$I$31</c:f>
              <c:strCache>
                <c:ptCount val="1"/>
                <c:pt idx="0">
                  <c:v>2019.gads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X.Procedūru_dinamika!$J$31:$M$31</c:f>
              <c:numCache>
                <c:formatCode>0.0%</c:formatCode>
                <c:ptCount val="4"/>
                <c:pt idx="0">
                  <c:v>0.54545454545454541</c:v>
                </c:pt>
                <c:pt idx="1">
                  <c:v>0.6870147281934319</c:v>
                </c:pt>
                <c:pt idx="2">
                  <c:v>0.45500000000000002</c:v>
                </c:pt>
                <c:pt idx="3">
                  <c:v>0.36199999999999999</c:v>
                </c:pt>
              </c:numCache>
            </c:numRef>
          </c:val>
          <c:extLst>
            <c:ext xmlns:c16="http://schemas.microsoft.com/office/drawing/2014/chart" uri="{C3380CC4-5D6E-409C-BE32-E72D297353CC}">
              <c16:uniqueId val="{00000007-FAF3-4338-9C23-47245020789F}"/>
            </c:ext>
          </c:extLst>
        </c:ser>
        <c:ser>
          <c:idx val="8"/>
          <c:order val="8"/>
          <c:tx>
            <c:strRef>
              <c:f>X.Procedūru_dinamika!$I$32</c:f>
              <c:strCache>
                <c:ptCount val="1"/>
                <c:pt idx="0">
                  <c:v>2020.gads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X.Procedūru_dinamika!$J$32:$M$32</c:f>
              <c:numCache>
                <c:formatCode>0.0%</c:formatCode>
                <c:ptCount val="4"/>
                <c:pt idx="0">
                  <c:v>0.41666666666666669</c:v>
                </c:pt>
                <c:pt idx="1">
                  <c:v>0.48828238238280158</c:v>
                </c:pt>
                <c:pt idx="2">
                  <c:v>0.58299999999999996</c:v>
                </c:pt>
                <c:pt idx="3">
                  <c:v>0.51200000000000001</c:v>
                </c:pt>
              </c:numCache>
            </c:numRef>
          </c:val>
          <c:extLst>
            <c:ext xmlns:c16="http://schemas.microsoft.com/office/drawing/2014/chart" uri="{C3380CC4-5D6E-409C-BE32-E72D297353CC}">
              <c16:uniqueId val="{00000008-FAF3-4338-9C23-47245020789F}"/>
            </c:ext>
          </c:extLst>
        </c:ser>
        <c:ser>
          <c:idx val="9"/>
          <c:order val="9"/>
          <c:tx>
            <c:strRef>
              <c:f>X.Procedūru_dinamika!$I$33</c:f>
              <c:strCache>
                <c:ptCount val="1"/>
                <c:pt idx="0">
                  <c:v>2021.gads</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X.Procedūru_dinamika!$J$33:$M$33</c:f>
              <c:numCache>
                <c:formatCode>0.0%</c:formatCode>
                <c:ptCount val="4"/>
                <c:pt idx="0">
                  <c:v>0.31818181818181818</c:v>
                </c:pt>
                <c:pt idx="1">
                  <c:v>0.39953040570487169</c:v>
                </c:pt>
                <c:pt idx="2">
                  <c:v>0.68200000000000005</c:v>
                </c:pt>
                <c:pt idx="3">
                  <c:v>0.6</c:v>
                </c:pt>
              </c:numCache>
            </c:numRef>
          </c:val>
          <c:extLst>
            <c:ext xmlns:c16="http://schemas.microsoft.com/office/drawing/2014/chart" uri="{C3380CC4-5D6E-409C-BE32-E72D297353CC}">
              <c16:uniqueId val="{00000009-FAF3-4338-9C23-47245020789F}"/>
            </c:ext>
          </c:extLst>
        </c:ser>
        <c:dLbls>
          <c:dLblPos val="outEnd"/>
          <c:showLegendKey val="0"/>
          <c:showVal val="1"/>
          <c:showCatName val="0"/>
          <c:showSerName val="0"/>
          <c:showPercent val="0"/>
          <c:showBubbleSize val="0"/>
        </c:dLbls>
        <c:gapWidth val="150"/>
        <c:axId val="1672654864"/>
        <c:axId val="1672651120"/>
      </c:barChart>
      <c:catAx>
        <c:axId val="1672654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72651120"/>
        <c:crosses val="autoZero"/>
        <c:auto val="1"/>
        <c:lblAlgn val="ctr"/>
        <c:lblOffset val="100"/>
        <c:noMultiLvlLbl val="0"/>
      </c:catAx>
      <c:valAx>
        <c:axId val="16726511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726548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2" name="Picture 1">
          <a:extLst>
            <a:ext uri="{FF2B5EF4-FFF2-40B4-BE49-F238E27FC236}">
              <a16:creationId xmlns:a16="http://schemas.microsoft.com/office/drawing/2014/main" id="{92E8701C-E8FA-4114-BF9C-5DC56626F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615940" cy="2320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85724</xdr:colOff>
      <xdr:row>24</xdr:row>
      <xdr:rowOff>66675</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152399</xdr:rowOff>
    </xdr:from>
    <xdr:to>
      <xdr:col>11</xdr:col>
      <xdr:colOff>361949</xdr:colOff>
      <xdr:row>31</xdr:row>
      <xdr:rowOff>142874</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76199</xdr:colOff>
      <xdr:row>0</xdr:row>
      <xdr:rowOff>57150</xdr:rowOff>
    </xdr:from>
    <xdr:to>
      <xdr:col>25</xdr:col>
      <xdr:colOff>533400</xdr:colOff>
      <xdr:row>15</xdr:row>
      <xdr:rowOff>142875</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66675</xdr:colOff>
      <xdr:row>16</xdr:row>
      <xdr:rowOff>76200</xdr:rowOff>
    </xdr:from>
    <xdr:to>
      <xdr:col>25</xdr:col>
      <xdr:colOff>161925</xdr:colOff>
      <xdr:row>34</xdr:row>
      <xdr:rowOff>133350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52387</xdr:colOff>
      <xdr:row>0</xdr:row>
      <xdr:rowOff>161925</xdr:rowOff>
    </xdr:from>
    <xdr:to>
      <xdr:col>9</xdr:col>
      <xdr:colOff>523875</xdr:colOff>
      <xdr:row>20</xdr:row>
      <xdr:rowOff>152400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346075</xdr:colOff>
      <xdr:row>51</xdr:row>
      <xdr:rowOff>15875</xdr:rowOff>
    </xdr:from>
    <xdr:to>
      <xdr:col>20</xdr:col>
      <xdr:colOff>66674</xdr:colOff>
      <xdr:row>74</xdr:row>
      <xdr:rowOff>92075</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503464</xdr:colOff>
      <xdr:row>77</xdr:row>
      <xdr:rowOff>115660</xdr:rowOff>
    </xdr:from>
    <xdr:to>
      <xdr:col>23</xdr:col>
      <xdr:colOff>337458</xdr:colOff>
      <xdr:row>90</xdr:row>
      <xdr:rowOff>178253</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0</xdr:row>
      <xdr:rowOff>123826</xdr:rowOff>
    </xdr:from>
    <xdr:to>
      <xdr:col>22</xdr:col>
      <xdr:colOff>600075</xdr:colOff>
      <xdr:row>36</xdr:row>
      <xdr:rowOff>114300</xdr:rowOff>
    </xdr:to>
    <xdr:graphicFrame macro="">
      <xdr:nvGraphicFramePr>
        <xdr:cNvPr id="4" name="Chart 3">
          <a:extLst>
            <a:ext uri="{FF2B5EF4-FFF2-40B4-BE49-F238E27FC236}">
              <a16:creationId xmlns:a16="http://schemas.microsoft.com/office/drawing/2014/main" id="{113200D8-23E7-E8ED-5D3B-023FE5F83C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42333</xdr:rowOff>
    </xdr:from>
    <xdr:to>
      <xdr:col>14</xdr:col>
      <xdr:colOff>560917</xdr:colOff>
      <xdr:row>18</xdr:row>
      <xdr:rowOff>42332</xdr:rowOff>
    </xdr:to>
    <xdr:graphicFrame macro="">
      <xdr:nvGraphicFramePr>
        <xdr:cNvPr id="6" name="Chart 5">
          <a:extLst>
            <a:ext uri="{FF2B5EF4-FFF2-40B4-BE49-F238E27FC236}">
              <a16:creationId xmlns:a16="http://schemas.microsoft.com/office/drawing/2014/main" id="{C5B8AF5A-052A-784B-AF9D-9C831D3478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66674</xdr:colOff>
      <xdr:row>33</xdr:row>
      <xdr:rowOff>180975</xdr:rowOff>
    </xdr:from>
    <xdr:to>
      <xdr:col>17</xdr:col>
      <xdr:colOff>28575</xdr:colOff>
      <xdr:row>63</xdr:row>
      <xdr:rowOff>161924</xdr:rowOff>
    </xdr:to>
    <xdr:graphicFrame macro="">
      <xdr:nvGraphicFramePr>
        <xdr:cNvPr id="2" name="Chart 1">
          <a:extLst>
            <a:ext uri="{FF2B5EF4-FFF2-40B4-BE49-F238E27FC236}">
              <a16:creationId xmlns:a16="http://schemas.microsoft.com/office/drawing/2014/main" id="{79352CCE-2FD8-D49B-546C-FAF63AA46A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185737</xdr:colOff>
      <xdr:row>0</xdr:row>
      <xdr:rowOff>85725</xdr:rowOff>
    </xdr:from>
    <xdr:to>
      <xdr:col>18</xdr:col>
      <xdr:colOff>119062</xdr:colOff>
      <xdr:row>32</xdr:row>
      <xdr:rowOff>142875</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309903</xdr:colOff>
      <xdr:row>57</xdr:row>
      <xdr:rowOff>140833</xdr:rowOff>
    </xdr:from>
    <xdr:to>
      <xdr:col>21</xdr:col>
      <xdr:colOff>441891</xdr:colOff>
      <xdr:row>73</xdr:row>
      <xdr:rowOff>17010</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12CC3-335A-4E4A-81B6-B3D0A4D9E110}">
  <dimension ref="A16:I47"/>
  <sheetViews>
    <sheetView topLeftCell="A4" workbookViewId="0">
      <selection activeCell="M45" sqref="M45"/>
    </sheetView>
  </sheetViews>
  <sheetFormatPr defaultRowHeight="15" x14ac:dyDescent="0.25"/>
  <sheetData>
    <row r="16" spans="1:9" ht="34.5" customHeight="1" x14ac:dyDescent="0.25">
      <c r="A16" s="250" t="s">
        <v>216</v>
      </c>
      <c r="B16" s="250"/>
      <c r="C16" s="250"/>
      <c r="D16" s="250"/>
      <c r="E16" s="250"/>
      <c r="F16" s="250"/>
      <c r="G16" s="250"/>
      <c r="H16" s="250"/>
      <c r="I16" s="250"/>
    </row>
    <row r="47" spans="5:5" x14ac:dyDescent="0.25">
      <c r="E47" s="1" t="s">
        <v>223</v>
      </c>
    </row>
  </sheetData>
  <mergeCells count="1">
    <mergeCell ref="A16:I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82"/>
  <sheetViews>
    <sheetView topLeftCell="A54" zoomScaleNormal="100" workbookViewId="0">
      <selection activeCell="J93" sqref="J93"/>
    </sheetView>
  </sheetViews>
  <sheetFormatPr defaultRowHeight="15" x14ac:dyDescent="0.25"/>
  <cols>
    <col min="9" max="9" width="10.5703125" customWidth="1"/>
  </cols>
  <sheetData>
    <row r="1" spans="1:19" x14ac:dyDescent="0.25">
      <c r="A1" s="287"/>
      <c r="B1" s="287"/>
      <c r="C1" s="287"/>
      <c r="D1" s="287"/>
      <c r="E1" s="287"/>
      <c r="F1" s="287"/>
      <c r="G1" s="287"/>
      <c r="H1" s="287"/>
      <c r="I1" s="287"/>
      <c r="J1" s="287"/>
      <c r="K1" s="287"/>
      <c r="L1" s="287"/>
      <c r="M1" s="287"/>
      <c r="N1" s="287"/>
      <c r="O1" s="287"/>
      <c r="P1" s="287"/>
      <c r="Q1" s="287"/>
      <c r="R1" s="287"/>
      <c r="S1" s="287"/>
    </row>
    <row r="35" spans="1:23" ht="30" customHeight="1" x14ac:dyDescent="0.25"/>
    <row r="38" spans="1:23" x14ac:dyDescent="0.25">
      <c r="A38" s="181" t="s">
        <v>198</v>
      </c>
    </row>
    <row r="40" spans="1:23" x14ac:dyDescent="0.25">
      <c r="A40" s="2"/>
      <c r="B40" s="180" t="s">
        <v>28</v>
      </c>
      <c r="C40" s="180" t="s">
        <v>5</v>
      </c>
      <c r="D40" s="180" t="s">
        <v>30</v>
      </c>
      <c r="E40" s="180" t="s">
        <v>31</v>
      </c>
      <c r="F40" s="180" t="s">
        <v>37</v>
      </c>
      <c r="G40" s="180" t="s">
        <v>226</v>
      </c>
      <c r="H40" s="180" t="s">
        <v>84</v>
      </c>
      <c r="I40" s="180" t="s">
        <v>99</v>
      </c>
      <c r="J40" s="180" t="s">
        <v>100</v>
      </c>
      <c r="K40" s="180" t="s">
        <v>85</v>
      </c>
      <c r="L40" s="180" t="s">
        <v>86</v>
      </c>
      <c r="M40" s="180" t="s">
        <v>121</v>
      </c>
      <c r="N40" s="180" t="s">
        <v>122</v>
      </c>
      <c r="O40" s="102" t="s">
        <v>32</v>
      </c>
      <c r="P40" s="102" t="s">
        <v>42</v>
      </c>
      <c r="Q40" s="102" t="s">
        <v>123</v>
      </c>
      <c r="R40" s="102" t="s">
        <v>124</v>
      </c>
      <c r="S40" s="102" t="s">
        <v>43</v>
      </c>
      <c r="T40" s="102" t="s">
        <v>101</v>
      </c>
      <c r="U40" s="102" t="s">
        <v>44</v>
      </c>
      <c r="V40" s="217" t="s">
        <v>174</v>
      </c>
      <c r="W40" s="61" t="s">
        <v>3</v>
      </c>
    </row>
    <row r="41" spans="1:23" x14ac:dyDescent="0.25">
      <c r="A41" s="2" t="s">
        <v>4</v>
      </c>
      <c r="B41" s="180">
        <v>0</v>
      </c>
      <c r="C41" s="180">
        <v>1</v>
      </c>
      <c r="D41" s="180">
        <v>0</v>
      </c>
      <c r="E41" s="180">
        <v>0</v>
      </c>
      <c r="F41" s="180">
        <v>0</v>
      </c>
      <c r="G41" s="180">
        <v>0</v>
      </c>
      <c r="H41" s="180">
        <v>0</v>
      </c>
      <c r="I41" s="180">
        <v>0</v>
      </c>
      <c r="J41" s="180">
        <v>0</v>
      </c>
      <c r="K41" s="180">
        <v>0</v>
      </c>
      <c r="L41" s="180">
        <v>0</v>
      </c>
      <c r="M41" s="180">
        <v>0</v>
      </c>
      <c r="N41" s="180">
        <v>0</v>
      </c>
      <c r="O41" s="102">
        <v>0</v>
      </c>
      <c r="P41" s="102">
        <v>0</v>
      </c>
      <c r="Q41" s="102">
        <v>0</v>
      </c>
      <c r="R41" s="102">
        <v>0</v>
      </c>
      <c r="S41" s="102">
        <v>0</v>
      </c>
      <c r="T41" s="102">
        <v>0</v>
      </c>
      <c r="U41" s="102">
        <v>0</v>
      </c>
      <c r="V41" s="102">
        <v>0</v>
      </c>
      <c r="W41" s="61">
        <f t="shared" ref="W41:W48" si="0">SUM(B41:V41)</f>
        <v>1</v>
      </c>
    </row>
    <row r="42" spans="1:23" x14ac:dyDescent="0.25">
      <c r="A42" s="2" t="s">
        <v>6</v>
      </c>
      <c r="B42" s="180">
        <v>0</v>
      </c>
      <c r="C42" s="180">
        <v>0</v>
      </c>
      <c r="D42" s="180">
        <v>1</v>
      </c>
      <c r="E42" s="180">
        <v>0</v>
      </c>
      <c r="F42" s="180">
        <v>0</v>
      </c>
      <c r="G42" s="180">
        <v>0</v>
      </c>
      <c r="H42" s="180">
        <v>0</v>
      </c>
      <c r="I42" s="180">
        <v>0</v>
      </c>
      <c r="J42" s="180">
        <v>0</v>
      </c>
      <c r="K42" s="180">
        <v>0</v>
      </c>
      <c r="L42" s="180">
        <v>0</v>
      </c>
      <c r="M42" s="180">
        <v>0</v>
      </c>
      <c r="N42" s="180">
        <v>0</v>
      </c>
      <c r="O42" s="102">
        <v>1</v>
      </c>
      <c r="P42" s="102">
        <v>0</v>
      </c>
      <c r="Q42" s="102">
        <v>0</v>
      </c>
      <c r="R42" s="102">
        <v>0</v>
      </c>
      <c r="S42" s="102">
        <v>0</v>
      </c>
      <c r="T42" s="102">
        <v>0</v>
      </c>
      <c r="U42" s="102">
        <v>0</v>
      </c>
      <c r="V42" s="102">
        <v>0</v>
      </c>
      <c r="W42" s="61">
        <f t="shared" si="0"/>
        <v>2</v>
      </c>
    </row>
    <row r="43" spans="1:23" x14ac:dyDescent="0.25">
      <c r="A43" s="2" t="s">
        <v>7</v>
      </c>
      <c r="B43" s="180">
        <v>0</v>
      </c>
      <c r="C43" s="180">
        <v>2</v>
      </c>
      <c r="D43" s="180">
        <v>1</v>
      </c>
      <c r="E43" s="180">
        <v>0</v>
      </c>
      <c r="F43" s="180">
        <v>1</v>
      </c>
      <c r="G43" s="180">
        <v>0</v>
      </c>
      <c r="H43" s="180">
        <v>0</v>
      </c>
      <c r="I43" s="180">
        <v>0</v>
      </c>
      <c r="J43" s="180">
        <v>0</v>
      </c>
      <c r="K43" s="180">
        <v>0</v>
      </c>
      <c r="L43" s="180">
        <v>0</v>
      </c>
      <c r="M43" s="180">
        <v>0</v>
      </c>
      <c r="N43" s="180">
        <v>0</v>
      </c>
      <c r="O43" s="102">
        <v>1</v>
      </c>
      <c r="P43" s="102">
        <v>0</v>
      </c>
      <c r="Q43" s="102">
        <v>0</v>
      </c>
      <c r="R43" s="102">
        <v>0</v>
      </c>
      <c r="S43" s="102">
        <v>0</v>
      </c>
      <c r="T43" s="102">
        <v>0</v>
      </c>
      <c r="U43" s="102">
        <v>0</v>
      </c>
      <c r="V43" s="102">
        <v>0</v>
      </c>
      <c r="W43" s="61">
        <f t="shared" si="0"/>
        <v>5</v>
      </c>
    </row>
    <row r="44" spans="1:23" x14ac:dyDescent="0.25">
      <c r="A44" s="2" t="s">
        <v>8</v>
      </c>
      <c r="B44" s="180">
        <v>8</v>
      </c>
      <c r="C44" s="180">
        <v>1</v>
      </c>
      <c r="D44" s="180">
        <v>2</v>
      </c>
      <c r="E44" s="180">
        <v>1</v>
      </c>
      <c r="F44" s="180">
        <v>0</v>
      </c>
      <c r="G44" s="180">
        <v>0</v>
      </c>
      <c r="H44" s="180">
        <v>0</v>
      </c>
      <c r="I44" s="180">
        <v>0</v>
      </c>
      <c r="J44" s="180">
        <v>0</v>
      </c>
      <c r="K44" s="180">
        <v>0</v>
      </c>
      <c r="L44" s="180">
        <v>0</v>
      </c>
      <c r="M44" s="180">
        <v>0</v>
      </c>
      <c r="N44" s="180">
        <v>0</v>
      </c>
      <c r="O44" s="102">
        <v>2</v>
      </c>
      <c r="P44" s="102">
        <v>1</v>
      </c>
      <c r="Q44" s="102">
        <v>0</v>
      </c>
      <c r="R44" s="102">
        <v>0</v>
      </c>
      <c r="S44" s="102">
        <v>1</v>
      </c>
      <c r="T44" s="102">
        <v>0</v>
      </c>
      <c r="U44" s="102">
        <v>1</v>
      </c>
      <c r="V44" s="102">
        <v>0</v>
      </c>
      <c r="W44" s="61">
        <f t="shared" si="0"/>
        <v>17</v>
      </c>
    </row>
    <row r="45" spans="1:23" x14ac:dyDescent="0.25">
      <c r="A45" s="73" t="s">
        <v>83</v>
      </c>
      <c r="B45" s="180">
        <v>3</v>
      </c>
      <c r="C45" s="180">
        <v>1</v>
      </c>
      <c r="D45" s="180">
        <v>1</v>
      </c>
      <c r="E45" s="180">
        <v>0</v>
      </c>
      <c r="F45" s="180">
        <v>0</v>
      </c>
      <c r="G45" s="180">
        <v>0</v>
      </c>
      <c r="H45" s="180">
        <v>1</v>
      </c>
      <c r="I45" s="180">
        <v>0</v>
      </c>
      <c r="J45" s="180">
        <v>0</v>
      </c>
      <c r="K45" s="180">
        <v>1</v>
      </c>
      <c r="L45" s="180">
        <v>1</v>
      </c>
      <c r="M45" s="180">
        <v>0</v>
      </c>
      <c r="N45" s="180">
        <v>0</v>
      </c>
      <c r="O45" s="102">
        <v>0</v>
      </c>
      <c r="P45" s="102">
        <v>0</v>
      </c>
      <c r="Q45" s="102">
        <v>0</v>
      </c>
      <c r="R45" s="102">
        <v>0</v>
      </c>
      <c r="S45" s="102">
        <v>0</v>
      </c>
      <c r="T45" s="102">
        <v>0</v>
      </c>
      <c r="U45" s="102">
        <v>1</v>
      </c>
      <c r="V45" s="102">
        <v>0</v>
      </c>
      <c r="W45" s="61">
        <f t="shared" si="0"/>
        <v>9</v>
      </c>
    </row>
    <row r="46" spans="1:23" x14ac:dyDescent="0.25">
      <c r="A46" s="73" t="s">
        <v>97</v>
      </c>
      <c r="B46" s="180">
        <v>7</v>
      </c>
      <c r="C46" s="180">
        <v>1</v>
      </c>
      <c r="D46" s="180">
        <v>2</v>
      </c>
      <c r="E46" s="180">
        <v>0</v>
      </c>
      <c r="F46" s="180">
        <v>1</v>
      </c>
      <c r="G46" s="180">
        <v>0</v>
      </c>
      <c r="H46" s="180">
        <v>3</v>
      </c>
      <c r="I46" s="180">
        <v>1</v>
      </c>
      <c r="J46" s="180">
        <v>1</v>
      </c>
      <c r="K46" s="180">
        <v>2</v>
      </c>
      <c r="L46" s="180">
        <v>0</v>
      </c>
      <c r="M46" s="180">
        <v>0</v>
      </c>
      <c r="N46" s="180">
        <v>0</v>
      </c>
      <c r="O46" s="102">
        <v>2</v>
      </c>
      <c r="P46" s="102">
        <v>1</v>
      </c>
      <c r="Q46" s="102">
        <v>0</v>
      </c>
      <c r="R46" s="102">
        <v>0</v>
      </c>
      <c r="S46" s="102">
        <v>0</v>
      </c>
      <c r="T46" s="102">
        <v>1</v>
      </c>
      <c r="U46" s="102">
        <v>0</v>
      </c>
      <c r="V46" s="102">
        <v>0</v>
      </c>
      <c r="W46" s="61">
        <f t="shared" si="0"/>
        <v>22</v>
      </c>
    </row>
    <row r="47" spans="1:23" x14ac:dyDescent="0.25">
      <c r="A47" s="73" t="s">
        <v>119</v>
      </c>
      <c r="B47" s="180">
        <v>12</v>
      </c>
      <c r="C47" s="180">
        <v>2</v>
      </c>
      <c r="D47" s="180">
        <v>1</v>
      </c>
      <c r="E47" s="180">
        <v>0</v>
      </c>
      <c r="F47" s="180">
        <v>0</v>
      </c>
      <c r="G47" s="180">
        <v>0</v>
      </c>
      <c r="H47" s="180">
        <v>1</v>
      </c>
      <c r="I47" s="180">
        <v>0</v>
      </c>
      <c r="J47" s="180">
        <v>0</v>
      </c>
      <c r="K47" s="180">
        <v>0</v>
      </c>
      <c r="L47" s="180">
        <v>0</v>
      </c>
      <c r="M47" s="180">
        <v>2</v>
      </c>
      <c r="N47" s="180">
        <v>1</v>
      </c>
      <c r="O47" s="102">
        <v>1</v>
      </c>
      <c r="P47" s="102">
        <v>3</v>
      </c>
      <c r="Q47" s="102">
        <v>1</v>
      </c>
      <c r="R47" s="102">
        <v>3</v>
      </c>
      <c r="S47" s="102">
        <v>0</v>
      </c>
      <c r="T47" s="102">
        <v>0</v>
      </c>
      <c r="U47" s="102">
        <v>1</v>
      </c>
      <c r="V47" s="102">
        <v>0</v>
      </c>
      <c r="W47" s="158">
        <f t="shared" si="0"/>
        <v>28</v>
      </c>
    </row>
    <row r="48" spans="1:23" x14ac:dyDescent="0.25">
      <c r="A48" s="73" t="s">
        <v>134</v>
      </c>
      <c r="B48" s="180">
        <v>7</v>
      </c>
      <c r="C48" s="180">
        <v>0</v>
      </c>
      <c r="D48" s="180">
        <v>0</v>
      </c>
      <c r="E48" s="180">
        <v>0</v>
      </c>
      <c r="F48" s="180">
        <v>0</v>
      </c>
      <c r="G48" s="180">
        <v>0</v>
      </c>
      <c r="H48" s="180">
        <v>0</v>
      </c>
      <c r="I48" s="180">
        <v>0</v>
      </c>
      <c r="J48" s="180">
        <v>1</v>
      </c>
      <c r="K48" s="180">
        <v>0</v>
      </c>
      <c r="L48" s="180">
        <v>0</v>
      </c>
      <c r="M48" s="180">
        <v>0</v>
      </c>
      <c r="N48" s="180">
        <v>0</v>
      </c>
      <c r="O48" s="102">
        <v>0</v>
      </c>
      <c r="P48" s="102">
        <v>2</v>
      </c>
      <c r="Q48" s="102">
        <v>0</v>
      </c>
      <c r="R48" s="102">
        <v>0</v>
      </c>
      <c r="S48" s="102">
        <v>0</v>
      </c>
      <c r="T48" s="102">
        <v>0</v>
      </c>
      <c r="U48" s="102">
        <v>0</v>
      </c>
      <c r="V48" s="102">
        <v>1</v>
      </c>
      <c r="W48" s="158">
        <f t="shared" si="0"/>
        <v>11</v>
      </c>
    </row>
    <row r="49" spans="1:23" x14ac:dyDescent="0.25">
      <c r="A49" s="73" t="s">
        <v>208</v>
      </c>
      <c r="B49" s="180">
        <v>10</v>
      </c>
      <c r="C49" s="180">
        <v>0</v>
      </c>
      <c r="D49" s="180">
        <v>1</v>
      </c>
      <c r="E49" s="180">
        <v>1</v>
      </c>
      <c r="F49" s="180">
        <v>0</v>
      </c>
      <c r="G49" s="180">
        <v>0</v>
      </c>
      <c r="H49" s="180">
        <v>0</v>
      </c>
      <c r="I49" s="180">
        <v>0</v>
      </c>
      <c r="J49" s="180">
        <v>0</v>
      </c>
      <c r="K49" s="180">
        <v>0</v>
      </c>
      <c r="L49" s="180">
        <v>0</v>
      </c>
      <c r="M49" s="180">
        <v>0</v>
      </c>
      <c r="N49" s="180">
        <v>0</v>
      </c>
      <c r="O49" s="102">
        <v>2</v>
      </c>
      <c r="P49" s="102">
        <v>0</v>
      </c>
      <c r="Q49" s="102">
        <v>0</v>
      </c>
      <c r="R49" s="102">
        <v>0</v>
      </c>
      <c r="S49" s="102">
        <v>0</v>
      </c>
      <c r="T49" s="102">
        <v>0</v>
      </c>
      <c r="U49" s="102">
        <v>0</v>
      </c>
      <c r="V49" s="102">
        <v>0</v>
      </c>
      <c r="W49" s="197">
        <f>B49+D49+E49+O49</f>
        <v>14</v>
      </c>
    </row>
    <row r="50" spans="1:23" x14ac:dyDescent="0.25">
      <c r="A50" s="73" t="s">
        <v>219</v>
      </c>
      <c r="B50" s="180">
        <v>28</v>
      </c>
      <c r="C50" s="180">
        <v>2</v>
      </c>
      <c r="D50" s="180">
        <v>2</v>
      </c>
      <c r="E50" s="180">
        <v>0</v>
      </c>
      <c r="F50" s="180">
        <v>0</v>
      </c>
      <c r="G50" s="180">
        <v>1</v>
      </c>
      <c r="H50" s="180">
        <v>1</v>
      </c>
      <c r="I50" s="180">
        <v>0</v>
      </c>
      <c r="J50" s="180">
        <v>0</v>
      </c>
      <c r="K50" s="180">
        <v>2</v>
      </c>
      <c r="L50" s="180">
        <v>0</v>
      </c>
      <c r="M50" s="180">
        <v>0</v>
      </c>
      <c r="N50" s="180">
        <v>1</v>
      </c>
      <c r="O50" s="102">
        <v>0</v>
      </c>
      <c r="P50" s="102">
        <v>1</v>
      </c>
      <c r="Q50" s="102">
        <v>0</v>
      </c>
      <c r="R50" s="102">
        <v>2</v>
      </c>
      <c r="S50" s="102">
        <v>0</v>
      </c>
      <c r="T50" s="102">
        <v>0</v>
      </c>
      <c r="U50" s="102">
        <v>0</v>
      </c>
      <c r="V50" s="102">
        <v>0</v>
      </c>
      <c r="W50" s="158">
        <f>SUM(B50:V50)</f>
        <v>40</v>
      </c>
    </row>
    <row r="52" spans="1:23" x14ac:dyDescent="0.25">
      <c r="A52" s="181" t="s">
        <v>199</v>
      </c>
    </row>
    <row r="54" spans="1:23" x14ac:dyDescent="0.25">
      <c r="A54" s="2"/>
      <c r="B54" s="2" t="s">
        <v>28</v>
      </c>
      <c r="C54" s="2" t="s">
        <v>53</v>
      </c>
      <c r="D54" s="2" t="s">
        <v>35</v>
      </c>
    </row>
    <row r="55" spans="1:23" x14ac:dyDescent="0.25">
      <c r="A55" s="2" t="s">
        <v>4</v>
      </c>
      <c r="B55" s="49">
        <f t="shared" ref="B55:B64" si="1">B41/W41</f>
        <v>0</v>
      </c>
      <c r="C55" s="49">
        <f>C41/W41</f>
        <v>1</v>
      </c>
      <c r="D55" s="49">
        <f>O41/W41</f>
        <v>0</v>
      </c>
    </row>
    <row r="56" spans="1:23" x14ac:dyDescent="0.25">
      <c r="A56" s="2" t="s">
        <v>6</v>
      </c>
      <c r="B56" s="49">
        <f t="shared" si="1"/>
        <v>0</v>
      </c>
      <c r="C56" s="49">
        <f>D42/W42</f>
        <v>0.5</v>
      </c>
      <c r="D56" s="49">
        <f>O42/W42</f>
        <v>0.5</v>
      </c>
    </row>
    <row r="57" spans="1:23" x14ac:dyDescent="0.25">
      <c r="A57" s="2" t="s">
        <v>7</v>
      </c>
      <c r="B57" s="49">
        <f t="shared" si="1"/>
        <v>0</v>
      </c>
      <c r="C57" s="49">
        <f>(C43+D43+F43)/W43</f>
        <v>0.8</v>
      </c>
      <c r="D57" s="49">
        <f>O43/W43</f>
        <v>0.2</v>
      </c>
    </row>
    <row r="58" spans="1:23" x14ac:dyDescent="0.25">
      <c r="A58" s="2" t="s">
        <v>8</v>
      </c>
      <c r="B58" s="49">
        <f t="shared" si="1"/>
        <v>0.47058823529411764</v>
      </c>
      <c r="C58" s="49">
        <f>(C44+D44+E44+P44)/W44</f>
        <v>0.29411764705882354</v>
      </c>
      <c r="D58" s="49">
        <f>(O44+S44+U44)/W44</f>
        <v>0.23529411764705882</v>
      </c>
    </row>
    <row r="59" spans="1:23" x14ac:dyDescent="0.25">
      <c r="A59" s="73" t="s">
        <v>83</v>
      </c>
      <c r="B59" s="49">
        <f t="shared" si="1"/>
        <v>0.33333333333333331</v>
      </c>
      <c r="C59" s="49">
        <f>(C45+D45+E45+F45+P45+H45+K45+L45)/W45</f>
        <v>0.55555555555555558</v>
      </c>
      <c r="D59" s="49">
        <f>(O45+S45+U45)/W45</f>
        <v>0.1111111111111111</v>
      </c>
      <c r="W59" s="37"/>
    </row>
    <row r="60" spans="1:23" x14ac:dyDescent="0.25">
      <c r="A60" s="73" t="s">
        <v>97</v>
      </c>
      <c r="B60" s="49">
        <f t="shared" si="1"/>
        <v>0.31818181818181818</v>
      </c>
      <c r="C60" s="49">
        <f>(C46+D46+E46+F46+P46+H46+I46+J46+K46+L46)/W46</f>
        <v>0.54545454545454541</v>
      </c>
      <c r="D60" s="49">
        <f>(O46+S46+T46+U46)/W46</f>
        <v>0.13636363636363635</v>
      </c>
      <c r="E60" s="37"/>
      <c r="W60" s="37"/>
    </row>
    <row r="61" spans="1:23" x14ac:dyDescent="0.25">
      <c r="A61" s="73" t="s">
        <v>119</v>
      </c>
      <c r="B61" s="49">
        <f t="shared" si="1"/>
        <v>0.42857142857142855</v>
      </c>
      <c r="C61" s="49">
        <f>(C47+D47+E47+F47+P47+H47+I47+J47+K47+L47+M47+N47)/W47</f>
        <v>0.35714285714285715</v>
      </c>
      <c r="D61" s="49">
        <f>(O47+Q47+R47+S47+T47+U47)/W47</f>
        <v>0.21428571428571427</v>
      </c>
      <c r="W61" s="37"/>
    </row>
    <row r="62" spans="1:23" x14ac:dyDescent="0.25">
      <c r="A62" s="73" t="s">
        <v>134</v>
      </c>
      <c r="B62" s="49">
        <f t="shared" si="1"/>
        <v>0.63636363636363635</v>
      </c>
      <c r="C62" s="49">
        <f>(P48+J48)/W48</f>
        <v>0.27272727272727271</v>
      </c>
      <c r="D62" s="49">
        <f>V48/W48</f>
        <v>9.0909090909090912E-2</v>
      </c>
    </row>
    <row r="63" spans="1:23" x14ac:dyDescent="0.25">
      <c r="A63" s="73" t="s">
        <v>208</v>
      </c>
      <c r="B63" s="49">
        <f t="shared" si="1"/>
        <v>0.7142857142857143</v>
      </c>
      <c r="C63" s="49">
        <f>(D49+E49)/W49</f>
        <v>0.14285714285714285</v>
      </c>
      <c r="D63" s="49">
        <f>O49/W49</f>
        <v>0.14285714285714285</v>
      </c>
    </row>
    <row r="64" spans="1:23" x14ac:dyDescent="0.25">
      <c r="A64" s="73" t="s">
        <v>219</v>
      </c>
      <c r="B64" s="49">
        <f t="shared" si="1"/>
        <v>0.7</v>
      </c>
      <c r="C64" s="49">
        <v>0.22500000000000001</v>
      </c>
      <c r="D64" s="49">
        <v>7.4999999999999997E-2</v>
      </c>
    </row>
    <row r="66" spans="1:12" x14ac:dyDescent="0.25">
      <c r="B66" s="218"/>
    </row>
    <row r="77" spans="1:12" x14ac:dyDescent="0.25">
      <c r="A77" s="181" t="s">
        <v>220</v>
      </c>
    </row>
    <row r="79" spans="1:12" x14ac:dyDescent="0.25">
      <c r="A79" s="2"/>
      <c r="B79" s="184" t="s">
        <v>28</v>
      </c>
      <c r="C79" s="185" t="s">
        <v>84</v>
      </c>
      <c r="D79" s="186" t="s">
        <v>30</v>
      </c>
      <c r="E79" s="219" t="s">
        <v>122</v>
      </c>
      <c r="F79" s="60" t="s">
        <v>85</v>
      </c>
      <c r="G79" s="221" t="s">
        <v>5</v>
      </c>
      <c r="H79" s="222" t="s">
        <v>42</v>
      </c>
      <c r="I79" s="223" t="s">
        <v>226</v>
      </c>
      <c r="J79" s="248" t="s">
        <v>124</v>
      </c>
      <c r="K79" s="159"/>
      <c r="L79" s="159"/>
    </row>
    <row r="80" spans="1:12" x14ac:dyDescent="0.25">
      <c r="A80" s="73" t="s">
        <v>62</v>
      </c>
      <c r="B80" s="2">
        <v>1</v>
      </c>
      <c r="C80" s="2">
        <v>0</v>
      </c>
      <c r="D80" s="2">
        <v>0</v>
      </c>
      <c r="E80" s="220">
        <v>0</v>
      </c>
      <c r="F80" s="121">
        <v>0</v>
      </c>
      <c r="G80" s="121">
        <v>0</v>
      </c>
      <c r="H80" s="121">
        <v>0</v>
      </c>
      <c r="I80" s="121">
        <v>0</v>
      </c>
      <c r="J80" s="121">
        <v>0</v>
      </c>
      <c r="K80" s="159"/>
      <c r="L80" s="159"/>
    </row>
    <row r="81" spans="1:14" x14ac:dyDescent="0.25">
      <c r="A81" s="73" t="s">
        <v>63</v>
      </c>
      <c r="B81" s="2">
        <v>12</v>
      </c>
      <c r="C81" s="2">
        <v>1</v>
      </c>
      <c r="D81" s="2">
        <v>0</v>
      </c>
      <c r="E81" s="220">
        <v>1</v>
      </c>
      <c r="F81" s="121">
        <v>2</v>
      </c>
      <c r="G81" s="121">
        <v>0</v>
      </c>
      <c r="H81" s="121">
        <v>1</v>
      </c>
      <c r="I81" s="121">
        <v>0</v>
      </c>
      <c r="J81" s="121">
        <v>0</v>
      </c>
      <c r="K81" s="159"/>
      <c r="L81" s="159"/>
    </row>
    <row r="82" spans="1:14" x14ac:dyDescent="0.25">
      <c r="A82" s="73" t="s">
        <v>64</v>
      </c>
      <c r="B82" s="2">
        <v>15</v>
      </c>
      <c r="C82" s="2">
        <v>0</v>
      </c>
      <c r="D82" s="2">
        <v>2</v>
      </c>
      <c r="E82" s="39">
        <v>0</v>
      </c>
      <c r="F82" s="121">
        <v>0</v>
      </c>
      <c r="G82" s="121">
        <v>2</v>
      </c>
      <c r="H82" s="121">
        <v>0</v>
      </c>
      <c r="I82" s="121">
        <v>1</v>
      </c>
      <c r="J82" s="121">
        <v>2</v>
      </c>
      <c r="K82" s="159"/>
      <c r="L82" s="159"/>
      <c r="M82" s="118"/>
      <c r="N82" s="118"/>
    </row>
  </sheetData>
  <mergeCells count="1">
    <mergeCell ref="A1:S1"/>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5"/>
  <sheetViews>
    <sheetView topLeftCell="A72" workbookViewId="0">
      <selection activeCell="H80" sqref="H80"/>
    </sheetView>
  </sheetViews>
  <sheetFormatPr defaultRowHeight="15" x14ac:dyDescent="0.25"/>
  <cols>
    <col min="2" max="2" width="13.5703125" customWidth="1"/>
    <col min="3" max="3" width="8.85546875" customWidth="1"/>
    <col min="4" max="4" width="10.140625" customWidth="1"/>
    <col min="5" max="5" width="9.85546875" bestFit="1" customWidth="1"/>
    <col min="6" max="6" width="10.5703125" customWidth="1"/>
    <col min="7" max="7" width="9.85546875" customWidth="1"/>
    <col min="8" max="8" width="10" customWidth="1"/>
    <col min="9" max="9" width="9.85546875" bestFit="1" customWidth="1"/>
    <col min="11" max="12" width="9.85546875" bestFit="1" customWidth="1"/>
  </cols>
  <sheetData>
    <row r="1" spans="1:8" ht="33" customHeight="1" x14ac:dyDescent="0.25">
      <c r="A1" s="250" t="s">
        <v>206</v>
      </c>
      <c r="B1" s="250"/>
      <c r="C1" s="250"/>
      <c r="D1" s="250"/>
      <c r="E1" s="250"/>
      <c r="F1" s="250"/>
      <c r="G1" s="250"/>
      <c r="H1" s="250"/>
    </row>
    <row r="2" spans="1:8" ht="15.75" customHeight="1" x14ac:dyDescent="0.25"/>
    <row r="3" spans="1:8" ht="15" customHeight="1" x14ac:dyDescent="0.25">
      <c r="A3" s="271"/>
      <c r="B3" s="304" t="s">
        <v>38</v>
      </c>
      <c r="C3" s="271" t="s">
        <v>55</v>
      </c>
      <c r="D3" s="271"/>
      <c r="E3" s="271"/>
      <c r="F3" s="271"/>
      <c r="G3" s="271"/>
      <c r="H3" s="271"/>
    </row>
    <row r="4" spans="1:8" x14ac:dyDescent="0.25">
      <c r="A4" s="271"/>
      <c r="B4" s="304"/>
      <c r="C4" s="305" t="s">
        <v>57</v>
      </c>
      <c r="D4" s="305"/>
      <c r="E4" s="302" t="s">
        <v>58</v>
      </c>
      <c r="F4" s="303"/>
      <c r="G4" s="304" t="s">
        <v>56</v>
      </c>
      <c r="H4" s="304"/>
    </row>
    <row r="5" spans="1:8" ht="45.75" thickBot="1" x14ac:dyDescent="0.3">
      <c r="A5" s="307"/>
      <c r="B5" s="306"/>
      <c r="C5" s="12" t="s">
        <v>65</v>
      </c>
      <c r="D5" s="12" t="s">
        <v>78</v>
      </c>
      <c r="E5" s="12" t="s">
        <v>65</v>
      </c>
      <c r="F5" s="12" t="s">
        <v>78</v>
      </c>
      <c r="G5" s="74" t="s">
        <v>65</v>
      </c>
      <c r="H5" s="12" t="s">
        <v>78</v>
      </c>
    </row>
    <row r="6" spans="1:8" ht="15.75" thickTop="1" x14ac:dyDescent="0.25">
      <c r="A6" s="308" t="s">
        <v>4</v>
      </c>
      <c r="B6" s="6" t="s">
        <v>63</v>
      </c>
      <c r="C6" s="17">
        <v>0</v>
      </c>
      <c r="D6" s="17">
        <v>0</v>
      </c>
      <c r="E6" s="9"/>
      <c r="F6" s="75"/>
      <c r="G6" s="6"/>
      <c r="H6" s="6"/>
    </row>
    <row r="7" spans="1:8" ht="15.75" thickBot="1" x14ac:dyDescent="0.3">
      <c r="A7" s="282"/>
      <c r="B7" s="66" t="s">
        <v>64</v>
      </c>
      <c r="C7" s="67">
        <v>1</v>
      </c>
      <c r="D7" s="82">
        <v>1210000</v>
      </c>
      <c r="E7" s="66"/>
      <c r="F7" s="66"/>
      <c r="G7" s="66"/>
      <c r="H7" s="66"/>
    </row>
    <row r="8" spans="1:8" x14ac:dyDescent="0.25">
      <c r="A8" s="309"/>
      <c r="B8" s="77" t="s">
        <v>3</v>
      </c>
      <c r="C8" s="78">
        <v>1</v>
      </c>
      <c r="D8" s="79">
        <f>SUM(D7)</f>
        <v>1210000</v>
      </c>
      <c r="E8" s="80"/>
      <c r="F8" s="81"/>
      <c r="G8" s="86"/>
      <c r="H8" s="86"/>
    </row>
    <row r="9" spans="1:8" x14ac:dyDescent="0.25">
      <c r="A9" s="258" t="s">
        <v>6</v>
      </c>
      <c r="B9" s="2" t="s">
        <v>63</v>
      </c>
      <c r="C9" s="5">
        <v>1</v>
      </c>
      <c r="D9" s="4">
        <v>865374</v>
      </c>
      <c r="E9" s="4"/>
      <c r="F9" s="76"/>
      <c r="G9" s="2"/>
      <c r="H9" s="2"/>
    </row>
    <row r="10" spans="1:8" ht="15.75" thickBot="1" x14ac:dyDescent="0.3">
      <c r="A10" s="282"/>
      <c r="B10" s="66" t="s">
        <v>64</v>
      </c>
      <c r="C10" s="67">
        <v>1</v>
      </c>
      <c r="D10" s="67">
        <v>1802559</v>
      </c>
      <c r="E10" s="66"/>
      <c r="F10" s="66"/>
      <c r="G10" s="66"/>
      <c r="H10" s="66"/>
    </row>
    <row r="11" spans="1:8" x14ac:dyDescent="0.25">
      <c r="A11" s="309"/>
      <c r="B11" s="77" t="s">
        <v>3</v>
      </c>
      <c r="C11" s="78">
        <f>SUM(C9:C10)</f>
        <v>2</v>
      </c>
      <c r="D11" s="78">
        <f>SUM(D9:D10)</f>
        <v>2667933</v>
      </c>
      <c r="E11" s="80"/>
      <c r="F11" s="81"/>
      <c r="G11" s="86"/>
      <c r="H11" s="86"/>
    </row>
    <row r="12" spans="1:8" x14ac:dyDescent="0.25">
      <c r="A12" s="258" t="s">
        <v>7</v>
      </c>
      <c r="B12" s="2" t="s">
        <v>63</v>
      </c>
      <c r="C12" s="4">
        <v>2</v>
      </c>
      <c r="D12" s="4">
        <v>2916217</v>
      </c>
      <c r="E12" s="4"/>
      <c r="F12" s="76"/>
      <c r="G12" s="2"/>
      <c r="H12" s="2"/>
    </row>
    <row r="13" spans="1:8" ht="15.75" thickBot="1" x14ac:dyDescent="0.3">
      <c r="A13" s="282"/>
      <c r="B13" s="66" t="s">
        <v>64</v>
      </c>
      <c r="C13" s="84">
        <v>2</v>
      </c>
      <c r="D13" s="67">
        <v>3389077</v>
      </c>
      <c r="E13" s="67"/>
      <c r="F13" s="67"/>
      <c r="G13" s="66"/>
      <c r="H13" s="66"/>
    </row>
    <row r="14" spans="1:8" x14ac:dyDescent="0.25">
      <c r="A14" s="309"/>
      <c r="B14" s="77" t="s">
        <v>3</v>
      </c>
      <c r="C14" s="78">
        <f>SUM(C12:C13)</f>
        <v>4</v>
      </c>
      <c r="D14" s="78">
        <f>SUM(D12:D13)</f>
        <v>6305294</v>
      </c>
      <c r="E14" s="78"/>
      <c r="F14" s="83"/>
      <c r="G14" s="86"/>
      <c r="H14" s="86"/>
    </row>
    <row r="15" spans="1:8" x14ac:dyDescent="0.25">
      <c r="A15" s="271" t="s">
        <v>8</v>
      </c>
      <c r="B15" s="2" t="s">
        <v>63</v>
      </c>
      <c r="C15" s="5">
        <v>7</v>
      </c>
      <c r="D15" s="5">
        <v>80147460</v>
      </c>
      <c r="E15" s="2"/>
      <c r="F15" s="2"/>
      <c r="G15" s="2"/>
      <c r="H15" s="2"/>
    </row>
    <row r="16" spans="1:8" ht="15.75" thickBot="1" x14ac:dyDescent="0.3">
      <c r="A16" s="271"/>
      <c r="B16" s="66" t="s">
        <v>64</v>
      </c>
      <c r="C16" s="84">
        <v>4</v>
      </c>
      <c r="D16" s="67">
        <v>10266986</v>
      </c>
      <c r="E16" s="66"/>
      <c r="F16" s="66"/>
      <c r="G16" s="66"/>
      <c r="H16" s="66"/>
    </row>
    <row r="17" spans="1:8" x14ac:dyDescent="0.25">
      <c r="A17" s="271"/>
      <c r="B17" s="77" t="s">
        <v>3</v>
      </c>
      <c r="C17" s="78">
        <f>SUM(C15:C16)</f>
        <v>11</v>
      </c>
      <c r="D17" s="78">
        <f>SUM(D15:D16)</f>
        <v>90414446</v>
      </c>
      <c r="E17" s="80"/>
      <c r="F17" s="80"/>
      <c r="G17" s="86"/>
      <c r="H17" s="86"/>
    </row>
    <row r="18" spans="1:8" x14ac:dyDescent="0.25">
      <c r="A18" s="271" t="s">
        <v>83</v>
      </c>
      <c r="B18" s="2" t="s">
        <v>63</v>
      </c>
      <c r="C18" s="5">
        <v>6</v>
      </c>
      <c r="D18" s="5">
        <v>9979774</v>
      </c>
      <c r="E18" s="2"/>
      <c r="F18" s="2"/>
      <c r="G18" s="2"/>
      <c r="H18" s="2"/>
    </row>
    <row r="19" spans="1:8" ht="15.75" thickBot="1" x14ac:dyDescent="0.3">
      <c r="A19" s="271"/>
      <c r="B19" s="66" t="s">
        <v>64</v>
      </c>
      <c r="C19" s="84">
        <v>2</v>
      </c>
      <c r="D19" s="67">
        <v>864140</v>
      </c>
      <c r="E19" s="66"/>
      <c r="F19" s="66"/>
      <c r="G19" s="66"/>
      <c r="H19" s="66"/>
    </row>
    <row r="20" spans="1:8" x14ac:dyDescent="0.25">
      <c r="A20" s="271"/>
      <c r="B20" s="77" t="s">
        <v>3</v>
      </c>
      <c r="C20" s="78">
        <f>C19+C18</f>
        <v>8</v>
      </c>
      <c r="D20" s="78">
        <f>D19+D18</f>
        <v>10843914</v>
      </c>
      <c r="E20" s="80"/>
      <c r="F20" s="80"/>
      <c r="G20" s="86"/>
      <c r="H20" s="86"/>
    </row>
    <row r="21" spans="1:8" x14ac:dyDescent="0.25">
      <c r="A21" s="271" t="s">
        <v>97</v>
      </c>
      <c r="B21" s="2" t="s">
        <v>63</v>
      </c>
      <c r="C21" s="5">
        <v>15</v>
      </c>
      <c r="D21" s="5">
        <v>22219012</v>
      </c>
      <c r="E21" s="2"/>
      <c r="F21" s="2"/>
      <c r="G21" s="2"/>
      <c r="H21" s="2"/>
    </row>
    <row r="22" spans="1:8" ht="15.75" thickBot="1" x14ac:dyDescent="0.3">
      <c r="A22" s="271"/>
      <c r="B22" s="66" t="s">
        <v>64</v>
      </c>
      <c r="C22" s="84">
        <v>3</v>
      </c>
      <c r="D22" s="67">
        <v>3636914</v>
      </c>
      <c r="E22" s="66"/>
      <c r="F22" s="66"/>
      <c r="G22" s="66"/>
      <c r="H22" s="66"/>
    </row>
    <row r="23" spans="1:8" x14ac:dyDescent="0.25">
      <c r="A23" s="271"/>
      <c r="B23" s="77" t="s">
        <v>3</v>
      </c>
      <c r="C23" s="78">
        <f>C22+C21</f>
        <v>18</v>
      </c>
      <c r="D23" s="78">
        <f>D22+D21</f>
        <v>25855926</v>
      </c>
      <c r="E23" s="80"/>
      <c r="F23" s="80"/>
      <c r="G23" s="86"/>
      <c r="H23" s="86"/>
    </row>
    <row r="24" spans="1:8" x14ac:dyDescent="0.25">
      <c r="A24" s="271" t="s">
        <v>119</v>
      </c>
      <c r="B24" s="134" t="s">
        <v>62</v>
      </c>
      <c r="C24" s="5">
        <v>1</v>
      </c>
      <c r="D24" s="5">
        <v>12650000</v>
      </c>
      <c r="E24" s="2"/>
      <c r="F24" s="2"/>
      <c r="G24" s="2"/>
      <c r="H24" s="2"/>
    </row>
    <row r="25" spans="1:8" x14ac:dyDescent="0.25">
      <c r="A25" s="271"/>
      <c r="B25" s="2" t="s">
        <v>63</v>
      </c>
      <c r="C25" s="115">
        <v>6</v>
      </c>
      <c r="D25" s="115">
        <v>25459198</v>
      </c>
      <c r="E25" s="132"/>
      <c r="F25" s="132"/>
      <c r="G25" s="132"/>
      <c r="H25" s="132"/>
    </row>
    <row r="26" spans="1:8" ht="15.75" thickBot="1" x14ac:dyDescent="0.3">
      <c r="A26" s="271"/>
      <c r="B26" s="66" t="s">
        <v>64</v>
      </c>
      <c r="C26" s="84">
        <v>3</v>
      </c>
      <c r="D26" s="67">
        <v>44284682</v>
      </c>
      <c r="E26" s="66"/>
      <c r="F26" s="66"/>
      <c r="G26" s="66"/>
      <c r="H26" s="66"/>
    </row>
    <row r="27" spans="1:8" x14ac:dyDescent="0.25">
      <c r="A27" s="271"/>
      <c r="B27" s="77" t="s">
        <v>3</v>
      </c>
      <c r="C27" s="78">
        <f>C24+C25+C26</f>
        <v>10</v>
      </c>
      <c r="D27" s="78">
        <f>D24+D25+D26</f>
        <v>82393880</v>
      </c>
      <c r="E27" s="80"/>
      <c r="F27" s="80"/>
      <c r="G27" s="86"/>
      <c r="H27" s="86"/>
    </row>
    <row r="28" spans="1:8" x14ac:dyDescent="0.25">
      <c r="A28" s="271" t="s">
        <v>134</v>
      </c>
      <c r="B28" s="134" t="s">
        <v>62</v>
      </c>
      <c r="C28" s="2">
        <v>1</v>
      </c>
      <c r="D28" s="115">
        <v>5849839</v>
      </c>
      <c r="E28" s="2"/>
      <c r="F28" s="2"/>
      <c r="G28" s="2"/>
      <c r="H28" s="2"/>
    </row>
    <row r="29" spans="1:8" x14ac:dyDescent="0.25">
      <c r="A29" s="271"/>
      <c r="B29" s="2" t="s">
        <v>63</v>
      </c>
      <c r="C29" s="2">
        <v>6</v>
      </c>
      <c r="D29" s="115">
        <v>23160151</v>
      </c>
      <c r="E29" s="2"/>
      <c r="F29" s="2"/>
      <c r="G29" s="2"/>
      <c r="H29" s="2"/>
    </row>
    <row r="30" spans="1:8" ht="15.75" thickBot="1" x14ac:dyDescent="0.3">
      <c r="A30" s="271"/>
      <c r="B30" s="66" t="s">
        <v>64</v>
      </c>
      <c r="C30" s="66">
        <v>4</v>
      </c>
      <c r="D30" s="67">
        <v>3736864</v>
      </c>
      <c r="E30" s="66"/>
      <c r="F30" s="66"/>
      <c r="G30" s="66"/>
      <c r="H30" s="66"/>
    </row>
    <row r="31" spans="1:8" x14ac:dyDescent="0.25">
      <c r="A31" s="271"/>
      <c r="B31" s="77" t="s">
        <v>3</v>
      </c>
      <c r="C31" s="198">
        <f>C30+C29+C28</f>
        <v>11</v>
      </c>
      <c r="D31" s="199">
        <f>D30+D29+D28</f>
        <v>32746854</v>
      </c>
      <c r="E31" s="86"/>
      <c r="F31" s="86"/>
      <c r="G31" s="86"/>
      <c r="H31" s="86"/>
    </row>
    <row r="32" spans="1:8" x14ac:dyDescent="0.25">
      <c r="A32" s="271" t="s">
        <v>208</v>
      </c>
      <c r="B32" s="134" t="s">
        <v>62</v>
      </c>
      <c r="C32" s="2">
        <v>0</v>
      </c>
      <c r="D32" s="115">
        <v>0</v>
      </c>
      <c r="E32" s="2"/>
      <c r="F32" s="2"/>
      <c r="G32" s="2"/>
      <c r="H32" s="2"/>
    </row>
    <row r="33" spans="1:10" x14ac:dyDescent="0.25">
      <c r="A33" s="271"/>
      <c r="B33" s="2" t="s">
        <v>63</v>
      </c>
      <c r="C33" s="2">
        <v>8</v>
      </c>
      <c r="D33" s="115">
        <v>68322970</v>
      </c>
      <c r="E33" s="2"/>
      <c r="F33" s="2"/>
      <c r="G33" s="2"/>
      <c r="H33" s="2"/>
    </row>
    <row r="34" spans="1:10" ht="15.75" thickBot="1" x14ac:dyDescent="0.3">
      <c r="A34" s="271"/>
      <c r="B34" s="66" t="s">
        <v>64</v>
      </c>
      <c r="C34" s="66">
        <v>4</v>
      </c>
      <c r="D34" s="67">
        <v>21700833</v>
      </c>
      <c r="E34" s="66"/>
      <c r="F34" s="66"/>
      <c r="G34" s="66"/>
      <c r="H34" s="66"/>
    </row>
    <row r="35" spans="1:10" x14ac:dyDescent="0.25">
      <c r="A35" s="271"/>
      <c r="B35" s="77" t="s">
        <v>3</v>
      </c>
      <c r="C35" s="198">
        <f>C34+C33+C32</f>
        <v>12</v>
      </c>
      <c r="D35" s="199">
        <f>D34+D33+D32</f>
        <v>90023803</v>
      </c>
      <c r="E35" s="86"/>
      <c r="F35" s="86"/>
      <c r="G35" s="86"/>
      <c r="H35" s="86"/>
    </row>
    <row r="36" spans="1:10" x14ac:dyDescent="0.25">
      <c r="A36" s="271" t="s">
        <v>219</v>
      </c>
      <c r="B36" s="134" t="s">
        <v>62</v>
      </c>
      <c r="C36" s="2">
        <v>1</v>
      </c>
      <c r="D36" s="115">
        <v>6791716</v>
      </c>
      <c r="E36" s="2"/>
      <c r="F36" s="2"/>
      <c r="G36" s="2"/>
      <c r="H36" s="2"/>
    </row>
    <row r="37" spans="1:10" x14ac:dyDescent="0.25">
      <c r="A37" s="271"/>
      <c r="B37" s="2" t="s">
        <v>63</v>
      </c>
      <c r="C37" s="2">
        <v>12</v>
      </c>
      <c r="D37" s="115">
        <v>16312797</v>
      </c>
      <c r="E37" s="2"/>
      <c r="F37" s="2"/>
      <c r="G37" s="2"/>
      <c r="H37" s="2"/>
    </row>
    <row r="38" spans="1:10" ht="15.75" thickBot="1" x14ac:dyDescent="0.3">
      <c r="A38" s="271"/>
      <c r="B38" s="66" t="s">
        <v>64</v>
      </c>
      <c r="C38" s="66">
        <v>9</v>
      </c>
      <c r="D38" s="67">
        <v>49840581</v>
      </c>
      <c r="E38" s="66"/>
      <c r="F38" s="66"/>
      <c r="G38" s="66"/>
      <c r="H38" s="66"/>
    </row>
    <row r="39" spans="1:10" x14ac:dyDescent="0.25">
      <c r="A39" s="271"/>
      <c r="B39" s="77" t="s">
        <v>3</v>
      </c>
      <c r="C39" s="198">
        <f>C38+C37+C36</f>
        <v>22</v>
      </c>
      <c r="D39" s="199">
        <f>D38+D37+D36</f>
        <v>72945094</v>
      </c>
      <c r="E39" s="86"/>
      <c r="F39" s="86"/>
      <c r="G39" s="86"/>
      <c r="H39" s="86"/>
    </row>
    <row r="41" spans="1:10" ht="29.25" customHeight="1" x14ac:dyDescent="0.25">
      <c r="A41" s="250" t="s">
        <v>79</v>
      </c>
      <c r="B41" s="250"/>
      <c r="C41" s="250"/>
      <c r="D41" s="250"/>
      <c r="E41" s="250"/>
      <c r="F41" s="250"/>
      <c r="G41" s="250"/>
      <c r="H41" s="250"/>
    </row>
    <row r="43" spans="1:10" x14ac:dyDescent="0.25">
      <c r="A43" s="258"/>
      <c r="B43" s="312" t="s">
        <v>38</v>
      </c>
      <c r="C43" s="271" t="s">
        <v>66</v>
      </c>
      <c r="D43" s="271"/>
      <c r="E43" s="271"/>
      <c r="F43" s="271"/>
      <c r="G43" s="271"/>
      <c r="H43" s="271"/>
      <c r="I43" s="271"/>
      <c r="J43" s="271"/>
    </row>
    <row r="44" spans="1:10" ht="29.25" customHeight="1" x14ac:dyDescent="0.25">
      <c r="A44" s="282"/>
      <c r="B44" s="313"/>
      <c r="C44" s="315" t="s">
        <v>102</v>
      </c>
      <c r="D44" s="315"/>
      <c r="E44" s="315" t="s">
        <v>68</v>
      </c>
      <c r="F44" s="315"/>
      <c r="G44" s="310" t="s">
        <v>69</v>
      </c>
      <c r="H44" s="311"/>
      <c r="I44" s="310" t="s">
        <v>103</v>
      </c>
      <c r="J44" s="311"/>
    </row>
    <row r="45" spans="1:10" ht="45.75" thickBot="1" x14ac:dyDescent="0.3">
      <c r="A45" s="259"/>
      <c r="B45" s="314"/>
      <c r="C45" s="122" t="s">
        <v>65</v>
      </c>
      <c r="D45" s="12" t="s">
        <v>78</v>
      </c>
      <c r="E45" s="74" t="s">
        <v>65</v>
      </c>
      <c r="F45" s="12" t="s">
        <v>78</v>
      </c>
      <c r="G45" s="122" t="s">
        <v>65</v>
      </c>
      <c r="H45" s="12" t="s">
        <v>78</v>
      </c>
      <c r="I45" s="122" t="s">
        <v>65</v>
      </c>
      <c r="J45" s="12" t="s">
        <v>78</v>
      </c>
    </row>
    <row r="46" spans="1:10" ht="15.75" thickTop="1" x14ac:dyDescent="0.25">
      <c r="A46" s="308" t="s">
        <v>4</v>
      </c>
      <c r="B46" s="6" t="s">
        <v>63</v>
      </c>
      <c r="C46" s="6"/>
      <c r="D46" s="6"/>
      <c r="E46" s="17"/>
      <c r="F46" s="17"/>
      <c r="G46" s="17"/>
      <c r="H46" s="17"/>
      <c r="I46" s="17"/>
      <c r="J46" s="17"/>
    </row>
    <row r="47" spans="1:10" x14ac:dyDescent="0.25">
      <c r="A47" s="309"/>
      <c r="B47" s="2" t="s">
        <v>64</v>
      </c>
      <c r="C47" s="2"/>
      <c r="D47" s="2"/>
      <c r="E47" s="5"/>
      <c r="F47" s="5"/>
      <c r="G47" s="5"/>
      <c r="H47" s="5"/>
      <c r="I47" s="5"/>
      <c r="J47" s="5"/>
    </row>
    <row r="48" spans="1:10" x14ac:dyDescent="0.25">
      <c r="A48" s="258" t="s">
        <v>6</v>
      </c>
      <c r="B48" s="2" t="s">
        <v>63</v>
      </c>
      <c r="C48" s="2"/>
      <c r="D48" s="2"/>
      <c r="E48" s="5">
        <v>1</v>
      </c>
      <c r="F48" s="5">
        <v>865374</v>
      </c>
      <c r="G48" s="5"/>
      <c r="H48" s="5"/>
      <c r="I48" s="5"/>
      <c r="J48" s="5"/>
    </row>
    <row r="49" spans="1:11" x14ac:dyDescent="0.25">
      <c r="A49" s="309"/>
      <c r="B49" s="2" t="s">
        <v>64</v>
      </c>
      <c r="C49" s="2"/>
      <c r="D49" s="2"/>
      <c r="E49" s="5">
        <v>1</v>
      </c>
      <c r="F49" s="5">
        <v>1802559</v>
      </c>
      <c r="G49" s="5"/>
      <c r="H49" s="5"/>
      <c r="I49" s="5"/>
      <c r="J49" s="5"/>
    </row>
    <row r="50" spans="1:11" x14ac:dyDescent="0.25">
      <c r="A50" s="258" t="s">
        <v>7</v>
      </c>
      <c r="B50" s="2" t="s">
        <v>63</v>
      </c>
      <c r="C50" s="2"/>
      <c r="D50" s="2"/>
      <c r="E50" s="5">
        <v>2</v>
      </c>
      <c r="F50" s="5">
        <v>2916217</v>
      </c>
      <c r="G50" s="5"/>
      <c r="H50" s="5"/>
      <c r="I50" s="5"/>
      <c r="J50" s="5"/>
    </row>
    <row r="51" spans="1:11" x14ac:dyDescent="0.25">
      <c r="A51" s="309"/>
      <c r="B51" s="2" t="s">
        <v>64</v>
      </c>
      <c r="C51" s="2"/>
      <c r="D51" s="2"/>
      <c r="E51" s="5">
        <v>1</v>
      </c>
      <c r="F51" s="5">
        <v>1310273</v>
      </c>
      <c r="G51" s="5"/>
      <c r="H51" s="5"/>
      <c r="I51" s="5"/>
      <c r="J51" s="5"/>
    </row>
    <row r="52" spans="1:11" x14ac:dyDescent="0.25">
      <c r="A52" s="258" t="s">
        <v>8</v>
      </c>
      <c r="B52" s="2" t="s">
        <v>63</v>
      </c>
      <c r="C52" s="2"/>
      <c r="D52" s="2"/>
      <c r="E52" s="5">
        <v>4</v>
      </c>
      <c r="F52" s="5">
        <v>75709647</v>
      </c>
      <c r="G52" s="5">
        <v>1</v>
      </c>
      <c r="H52" s="5">
        <v>3181818</v>
      </c>
      <c r="I52" s="5"/>
      <c r="J52" s="5"/>
    </row>
    <row r="53" spans="1:11" x14ac:dyDescent="0.25">
      <c r="A53" s="309"/>
      <c r="B53" s="2" t="s">
        <v>64</v>
      </c>
      <c r="C53" s="2"/>
      <c r="D53" s="2"/>
      <c r="E53" s="5">
        <v>1</v>
      </c>
      <c r="F53" s="5">
        <v>684000</v>
      </c>
      <c r="G53" s="5"/>
      <c r="H53" s="5"/>
      <c r="I53" s="5">
        <v>1</v>
      </c>
      <c r="J53" s="5">
        <v>6831737</v>
      </c>
    </row>
    <row r="54" spans="1:11" ht="17.25" customHeight="1" x14ac:dyDescent="0.25">
      <c r="A54" s="271" t="s">
        <v>83</v>
      </c>
      <c r="B54" s="73" t="s">
        <v>63</v>
      </c>
      <c r="C54" s="2"/>
      <c r="D54" s="2"/>
      <c r="E54" s="5">
        <v>2</v>
      </c>
      <c r="F54" s="5">
        <v>6077860</v>
      </c>
      <c r="G54" s="5">
        <v>2</v>
      </c>
      <c r="H54" s="5">
        <v>1377249</v>
      </c>
      <c r="I54" s="5"/>
      <c r="J54" s="5"/>
    </row>
    <row r="55" spans="1:11" ht="17.25" customHeight="1" x14ac:dyDescent="0.25">
      <c r="A55" s="271"/>
      <c r="B55" s="73" t="s">
        <v>64</v>
      </c>
      <c r="C55" s="2"/>
      <c r="D55" s="2"/>
      <c r="E55" s="5">
        <v>1</v>
      </c>
      <c r="F55" s="5">
        <v>583141</v>
      </c>
      <c r="G55" s="5"/>
      <c r="H55" s="5"/>
      <c r="I55" s="5">
        <v>1</v>
      </c>
      <c r="J55" s="5">
        <v>280999</v>
      </c>
    </row>
    <row r="56" spans="1:11" ht="17.25" customHeight="1" x14ac:dyDescent="0.25">
      <c r="A56" s="271" t="s">
        <v>97</v>
      </c>
      <c r="B56" s="73" t="s">
        <v>63</v>
      </c>
      <c r="C56" s="2">
        <v>1</v>
      </c>
      <c r="D56" s="5">
        <v>159983</v>
      </c>
      <c r="E56" s="5">
        <f>1+1+1</f>
        <v>3</v>
      </c>
      <c r="F56" s="5">
        <f>896283+418000+30000</f>
        <v>1344283</v>
      </c>
      <c r="G56" s="5">
        <f>1+1+1+1</f>
        <v>4</v>
      </c>
      <c r="H56" s="5">
        <f>418000+440000+5525888+484928</f>
        <v>6868816</v>
      </c>
      <c r="I56" s="5"/>
      <c r="J56" s="5"/>
      <c r="K56" s="68"/>
    </row>
    <row r="57" spans="1:11" ht="17.25" customHeight="1" x14ac:dyDescent="0.25">
      <c r="A57" s="271"/>
      <c r="B57" s="73" t="s">
        <v>64</v>
      </c>
      <c r="C57" s="2"/>
      <c r="D57" s="2"/>
      <c r="E57" s="5"/>
      <c r="F57" s="5"/>
      <c r="G57" s="5"/>
      <c r="H57" s="5"/>
      <c r="I57" s="5"/>
      <c r="J57" s="5"/>
    </row>
    <row r="58" spans="1:11" ht="17.25" customHeight="1" x14ac:dyDescent="0.25">
      <c r="A58" s="271" t="s">
        <v>119</v>
      </c>
      <c r="B58" s="134" t="s">
        <v>62</v>
      </c>
      <c r="C58" s="2">
        <v>1</v>
      </c>
      <c r="D58" s="5">
        <v>12650000</v>
      </c>
      <c r="E58" s="5"/>
      <c r="F58" s="5"/>
      <c r="G58" s="5"/>
      <c r="H58" s="5"/>
      <c r="I58" s="5"/>
      <c r="J58" s="5"/>
    </row>
    <row r="59" spans="1:11" ht="17.25" customHeight="1" x14ac:dyDescent="0.25">
      <c r="A59" s="271"/>
      <c r="B59" s="73" t="s">
        <v>63</v>
      </c>
      <c r="C59" s="2"/>
      <c r="D59" s="5"/>
      <c r="E59" s="5">
        <v>2</v>
      </c>
      <c r="F59" s="5">
        <v>9608500</v>
      </c>
      <c r="G59" s="5">
        <v>1</v>
      </c>
      <c r="H59" s="5">
        <v>450000</v>
      </c>
      <c r="I59" s="5"/>
      <c r="J59" s="5"/>
    </row>
    <row r="60" spans="1:11" x14ac:dyDescent="0.25">
      <c r="A60" s="271"/>
      <c r="B60" s="73" t="s">
        <v>64</v>
      </c>
      <c r="C60" s="2"/>
      <c r="D60" s="2"/>
      <c r="E60" s="5">
        <v>1</v>
      </c>
      <c r="F60" s="5">
        <v>4462809</v>
      </c>
      <c r="G60" s="5"/>
      <c r="H60" s="5"/>
      <c r="I60" s="5"/>
      <c r="J60" s="5"/>
    </row>
    <row r="61" spans="1:11" x14ac:dyDescent="0.25">
      <c r="A61" s="271" t="s">
        <v>134</v>
      </c>
      <c r="B61" s="134" t="s">
        <v>62</v>
      </c>
      <c r="C61" s="5"/>
      <c r="D61" s="5"/>
      <c r="E61" s="5"/>
      <c r="F61" s="5"/>
      <c r="G61" s="5"/>
      <c r="H61" s="5"/>
      <c r="I61" s="5"/>
      <c r="J61" s="2"/>
    </row>
    <row r="62" spans="1:11" x14ac:dyDescent="0.25">
      <c r="A62" s="271"/>
      <c r="B62" s="73" t="s">
        <v>63</v>
      </c>
      <c r="C62" s="5"/>
      <c r="D62" s="5"/>
      <c r="E62" s="5">
        <v>4</v>
      </c>
      <c r="F62" s="5">
        <v>20847158</v>
      </c>
      <c r="G62" s="5"/>
      <c r="H62" s="5"/>
      <c r="I62" s="5"/>
      <c r="J62" s="2"/>
    </row>
    <row r="63" spans="1:11" x14ac:dyDescent="0.25">
      <c r="A63" s="271"/>
      <c r="B63" s="73" t="s">
        <v>64</v>
      </c>
      <c r="C63" s="5"/>
      <c r="D63" s="5"/>
      <c r="E63" s="5">
        <f>1+1</f>
        <v>2</v>
      </c>
      <c r="F63" s="5">
        <f>950413+700000</f>
        <v>1650413</v>
      </c>
      <c r="G63" s="5"/>
      <c r="H63" s="5"/>
      <c r="I63" s="5"/>
      <c r="J63" s="2"/>
    </row>
    <row r="64" spans="1:11" x14ac:dyDescent="0.25">
      <c r="A64" s="271" t="s">
        <v>208</v>
      </c>
      <c r="B64" s="134" t="s">
        <v>62</v>
      </c>
      <c r="C64" s="5"/>
      <c r="D64" s="5"/>
      <c r="E64" s="5"/>
      <c r="F64" s="5"/>
      <c r="G64" s="5"/>
      <c r="H64" s="5"/>
      <c r="I64" s="5"/>
      <c r="J64" s="2"/>
    </row>
    <row r="65" spans="1:12" x14ac:dyDescent="0.25">
      <c r="A65" s="271"/>
      <c r="B65" s="73" t="s">
        <v>63</v>
      </c>
      <c r="C65" s="5"/>
      <c r="D65" s="5"/>
      <c r="E65" s="5">
        <v>2</v>
      </c>
      <c r="F65" s="5">
        <v>17739579</v>
      </c>
      <c r="G65" s="5">
        <v>1</v>
      </c>
      <c r="H65" s="5">
        <v>19620346</v>
      </c>
      <c r="I65" s="5"/>
      <c r="J65" s="2"/>
      <c r="L65" s="68"/>
    </row>
    <row r="66" spans="1:12" x14ac:dyDescent="0.25">
      <c r="A66" s="271"/>
      <c r="B66" s="73" t="s">
        <v>64</v>
      </c>
      <c r="C66" s="5"/>
      <c r="D66" s="5"/>
      <c r="E66" s="5">
        <v>2</v>
      </c>
      <c r="F66" s="5">
        <v>6597112</v>
      </c>
      <c r="G66" s="5"/>
      <c r="H66" s="5"/>
      <c r="I66" s="5"/>
      <c r="J66" s="2"/>
      <c r="L66" s="68"/>
    </row>
    <row r="67" spans="1:12" x14ac:dyDescent="0.25">
      <c r="A67" s="271" t="s">
        <v>219</v>
      </c>
      <c r="B67" s="134" t="s">
        <v>62</v>
      </c>
      <c r="C67" s="5"/>
      <c r="D67" s="5"/>
      <c r="E67" s="5"/>
      <c r="F67" s="5"/>
      <c r="G67" s="5"/>
      <c r="H67" s="5"/>
      <c r="I67" s="5"/>
      <c r="J67" s="2"/>
    </row>
    <row r="68" spans="1:12" x14ac:dyDescent="0.25">
      <c r="A68" s="271"/>
      <c r="B68" s="73" t="s">
        <v>63</v>
      </c>
      <c r="C68" s="5"/>
      <c r="D68" s="5"/>
      <c r="E68" s="5">
        <f>1+1</f>
        <v>2</v>
      </c>
      <c r="F68" s="5">
        <f>428000+568000</f>
        <v>996000</v>
      </c>
      <c r="G68" s="5">
        <f>1+1</f>
        <v>2</v>
      </c>
      <c r="H68" s="5">
        <f>6371901+800000</f>
        <v>7171901</v>
      </c>
      <c r="I68" s="5"/>
      <c r="J68" s="2"/>
      <c r="L68" s="68"/>
    </row>
    <row r="69" spans="1:12" x14ac:dyDescent="0.25">
      <c r="A69" s="271"/>
      <c r="B69" s="73" t="s">
        <v>64</v>
      </c>
      <c r="C69" s="5"/>
      <c r="D69" s="5"/>
      <c r="E69" s="5">
        <f>1+1+1</f>
        <v>3</v>
      </c>
      <c r="F69" s="5">
        <f>2117963+13339319+5518600</f>
        <v>20975882</v>
      </c>
      <c r="G69" s="5"/>
      <c r="H69" s="5"/>
      <c r="I69" s="5"/>
      <c r="J69" s="2"/>
      <c r="L69" s="68"/>
    </row>
    <row r="70" spans="1:12" x14ac:dyDescent="0.25">
      <c r="C70" s="68"/>
      <c r="E70" s="68"/>
      <c r="F70" s="68"/>
      <c r="G70" s="68"/>
    </row>
    <row r="71" spans="1:12" x14ac:dyDescent="0.25">
      <c r="A71" s="295" t="s">
        <v>73</v>
      </c>
      <c r="B71" s="296"/>
      <c r="C71" s="296"/>
      <c r="D71" s="296"/>
      <c r="E71" s="296"/>
      <c r="F71" s="296"/>
      <c r="G71" s="296"/>
      <c r="H71" s="297"/>
      <c r="K71" s="68"/>
    </row>
    <row r="72" spans="1:12" ht="135" customHeight="1" x14ac:dyDescent="0.25">
      <c r="A72" s="288" t="s">
        <v>270</v>
      </c>
      <c r="B72" s="288"/>
      <c r="C72" s="289" t="s">
        <v>271</v>
      </c>
      <c r="D72" s="289"/>
      <c r="E72" s="289"/>
      <c r="F72" s="289"/>
      <c r="G72" s="289"/>
      <c r="H72" s="289"/>
      <c r="K72" s="68"/>
    </row>
    <row r="73" spans="1:12" ht="33" customHeight="1" x14ac:dyDescent="0.25">
      <c r="A73" s="298" t="s">
        <v>71</v>
      </c>
      <c r="B73" s="298"/>
      <c r="C73" s="299" t="s">
        <v>228</v>
      </c>
      <c r="D73" s="300"/>
      <c r="E73" s="300"/>
      <c r="F73" s="300"/>
      <c r="G73" s="300"/>
      <c r="H73" s="301"/>
    </row>
    <row r="74" spans="1:12" ht="171" customHeight="1" x14ac:dyDescent="0.25">
      <c r="A74" s="288" t="s">
        <v>72</v>
      </c>
      <c r="B74" s="288"/>
      <c r="C74" s="292" t="s">
        <v>227</v>
      </c>
      <c r="D74" s="293"/>
      <c r="E74" s="293"/>
      <c r="F74" s="293"/>
      <c r="G74" s="293"/>
      <c r="H74" s="294"/>
    </row>
    <row r="75" spans="1:12" ht="62.25" customHeight="1" x14ac:dyDescent="0.25">
      <c r="A75" s="290" t="s">
        <v>272</v>
      </c>
      <c r="B75" s="291"/>
      <c r="C75" s="292" t="s">
        <v>273</v>
      </c>
      <c r="D75" s="293"/>
      <c r="E75" s="293"/>
      <c r="F75" s="293"/>
      <c r="G75" s="293"/>
      <c r="H75" s="294"/>
    </row>
  </sheetData>
  <mergeCells count="44">
    <mergeCell ref="A67:A69"/>
    <mergeCell ref="A46:A47"/>
    <mergeCell ref="E44:F44"/>
    <mergeCell ref="C44:D44"/>
    <mergeCell ref="A64:A66"/>
    <mergeCell ref="A61:A63"/>
    <mergeCell ref="A48:A49"/>
    <mergeCell ref="A50:A51"/>
    <mergeCell ref="A52:A53"/>
    <mergeCell ref="A54:A55"/>
    <mergeCell ref="A56:A57"/>
    <mergeCell ref="A58:A60"/>
    <mergeCell ref="A43:A45"/>
    <mergeCell ref="A6:A8"/>
    <mergeCell ref="A9:A11"/>
    <mergeCell ref="C43:J43"/>
    <mergeCell ref="G44:H44"/>
    <mergeCell ref="B43:B45"/>
    <mergeCell ref="I44:J44"/>
    <mergeCell ref="A41:H41"/>
    <mergeCell ref="A18:A20"/>
    <mergeCell ref="A12:A14"/>
    <mergeCell ref="A15:A17"/>
    <mergeCell ref="A24:A27"/>
    <mergeCell ref="A21:A23"/>
    <mergeCell ref="A28:A31"/>
    <mergeCell ref="A32:A35"/>
    <mergeCell ref="A36:A39"/>
    <mergeCell ref="A1:H1"/>
    <mergeCell ref="E4:F4"/>
    <mergeCell ref="G4:H4"/>
    <mergeCell ref="C3:H3"/>
    <mergeCell ref="C4:D4"/>
    <mergeCell ref="B3:B5"/>
    <mergeCell ref="A3:A5"/>
    <mergeCell ref="A72:B72"/>
    <mergeCell ref="C72:H72"/>
    <mergeCell ref="A75:B75"/>
    <mergeCell ref="C75:H75"/>
    <mergeCell ref="A71:H71"/>
    <mergeCell ref="A74:B74"/>
    <mergeCell ref="C74:H74"/>
    <mergeCell ref="A73:B73"/>
    <mergeCell ref="C73:H7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E078-4287-4F12-8ACA-EE872B49F4FD}">
  <dimension ref="A20:N118"/>
  <sheetViews>
    <sheetView zoomScaleNormal="100" workbookViewId="0">
      <selection activeCell="Q27" sqref="Q27"/>
    </sheetView>
  </sheetViews>
  <sheetFormatPr defaultRowHeight="15" x14ac:dyDescent="0.25"/>
  <cols>
    <col min="2" max="2" width="10.5703125" customWidth="1"/>
    <col min="3" max="5" width="10.85546875" bestFit="1" customWidth="1"/>
    <col min="6" max="6" width="10.5703125" customWidth="1"/>
    <col min="7" max="7" width="10.28515625" customWidth="1"/>
    <col min="8" max="8" width="10.85546875" bestFit="1" customWidth="1"/>
    <col min="10" max="10" width="10.5703125" customWidth="1"/>
    <col min="11" max="11" width="10" customWidth="1"/>
    <col min="12" max="12" width="10.5703125" customWidth="1"/>
    <col min="13" max="13" width="10.85546875" customWidth="1"/>
  </cols>
  <sheetData>
    <row r="20" spans="1:14" ht="46.5" customHeight="1" x14ac:dyDescent="0.25">
      <c r="A20" s="264" t="s">
        <v>274</v>
      </c>
      <c r="B20" s="264"/>
      <c r="C20" s="264"/>
      <c r="D20" s="264"/>
      <c r="E20" s="264"/>
      <c r="F20" s="264"/>
      <c r="G20" s="264"/>
      <c r="I20" s="264" t="s">
        <v>274</v>
      </c>
      <c r="J20" s="264"/>
      <c r="K20" s="264"/>
      <c r="L20" s="264"/>
      <c r="M20" s="264"/>
    </row>
    <row r="22" spans="1:14" ht="84.75" customHeight="1" x14ac:dyDescent="0.25">
      <c r="A22" s="258"/>
      <c r="B22" s="304" t="s">
        <v>80</v>
      </c>
      <c r="C22" s="304"/>
      <c r="D22" s="263" t="s">
        <v>81</v>
      </c>
      <c r="E22" s="263"/>
      <c r="F22" s="304" t="s">
        <v>282</v>
      </c>
      <c r="G22" s="304"/>
      <c r="I22" s="2"/>
      <c r="J22" s="304" t="s">
        <v>280</v>
      </c>
      <c r="K22" s="323"/>
      <c r="L22" s="304" t="s">
        <v>281</v>
      </c>
      <c r="M22" s="323"/>
    </row>
    <row r="23" spans="1:14" ht="45.75" thickBot="1" x14ac:dyDescent="0.3">
      <c r="A23" s="259"/>
      <c r="B23" s="85" t="s">
        <v>65</v>
      </c>
      <c r="C23" s="202" t="s">
        <v>21</v>
      </c>
      <c r="D23" s="85" t="s">
        <v>65</v>
      </c>
      <c r="E23" s="202" t="s">
        <v>21</v>
      </c>
      <c r="F23" s="85" t="s">
        <v>65</v>
      </c>
      <c r="G23" s="202" t="s">
        <v>21</v>
      </c>
      <c r="I23" s="11"/>
      <c r="J23" s="85" t="s">
        <v>65</v>
      </c>
      <c r="K23" s="202" t="s">
        <v>21</v>
      </c>
      <c r="L23" s="85" t="s">
        <v>65</v>
      </c>
      <c r="M23" s="202" t="s">
        <v>21</v>
      </c>
    </row>
    <row r="24" spans="1:14" ht="15.75" thickTop="1" x14ac:dyDescent="0.25">
      <c r="A24" s="6" t="s">
        <v>4</v>
      </c>
      <c r="B24" s="6">
        <v>1</v>
      </c>
      <c r="C24" s="17">
        <v>1210000</v>
      </c>
      <c r="D24" s="6">
        <v>0</v>
      </c>
      <c r="E24" s="17">
        <v>0</v>
      </c>
      <c r="F24" s="50">
        <f t="shared" ref="F24:G33" si="0">D24/B24</f>
        <v>0</v>
      </c>
      <c r="G24" s="50">
        <f t="shared" si="0"/>
        <v>0</v>
      </c>
      <c r="I24" s="6" t="s">
        <v>4</v>
      </c>
      <c r="J24" s="50">
        <v>0</v>
      </c>
      <c r="K24" s="50">
        <v>0</v>
      </c>
      <c r="L24" s="50">
        <v>1</v>
      </c>
      <c r="M24" s="50">
        <v>1</v>
      </c>
    </row>
    <row r="25" spans="1:14" x14ac:dyDescent="0.25">
      <c r="A25" s="2" t="s">
        <v>6</v>
      </c>
      <c r="B25" s="2">
        <v>2</v>
      </c>
      <c r="C25" s="5">
        <v>2667933</v>
      </c>
      <c r="D25" s="2">
        <v>2</v>
      </c>
      <c r="E25" s="5">
        <v>2667933</v>
      </c>
      <c r="F25" s="49">
        <f t="shared" si="0"/>
        <v>1</v>
      </c>
      <c r="G25" s="49">
        <f t="shared" si="0"/>
        <v>1</v>
      </c>
      <c r="I25" s="2" t="s">
        <v>6</v>
      </c>
      <c r="J25" s="49">
        <v>1</v>
      </c>
      <c r="K25" s="49">
        <v>1</v>
      </c>
      <c r="L25" s="49">
        <v>0</v>
      </c>
      <c r="M25" s="49">
        <v>0</v>
      </c>
    </row>
    <row r="26" spans="1:14" x14ac:dyDescent="0.25">
      <c r="A26" s="2" t="s">
        <v>7</v>
      </c>
      <c r="B26" s="2">
        <v>4</v>
      </c>
      <c r="C26" s="5">
        <v>6305294</v>
      </c>
      <c r="D26" s="2">
        <v>3</v>
      </c>
      <c r="E26" s="5">
        <v>4226490</v>
      </c>
      <c r="F26" s="49">
        <f t="shared" si="0"/>
        <v>0.75</v>
      </c>
      <c r="G26" s="49">
        <f t="shared" si="0"/>
        <v>0.67030815692337264</v>
      </c>
      <c r="I26" s="2" t="s">
        <v>7</v>
      </c>
      <c r="J26" s="49">
        <v>0.75</v>
      </c>
      <c r="K26" s="49">
        <v>0.67</v>
      </c>
      <c r="L26" s="49">
        <v>0.25</v>
      </c>
      <c r="M26" s="49">
        <v>0.33</v>
      </c>
    </row>
    <row r="27" spans="1:14" x14ac:dyDescent="0.25">
      <c r="A27" s="2" t="s">
        <v>8</v>
      </c>
      <c r="B27" s="2">
        <v>11</v>
      </c>
      <c r="C27" s="5">
        <v>90414446</v>
      </c>
      <c r="D27" s="2">
        <v>7</v>
      </c>
      <c r="E27" s="5">
        <v>86407202</v>
      </c>
      <c r="F27" s="49">
        <f t="shared" si="0"/>
        <v>0.63636363636363635</v>
      </c>
      <c r="G27" s="49">
        <f t="shared" si="0"/>
        <v>0.95567916215512727</v>
      </c>
      <c r="I27" s="2" t="s">
        <v>8</v>
      </c>
      <c r="J27" s="49">
        <v>0.63600000000000001</v>
      </c>
      <c r="K27" s="49">
        <v>0.95599999999999996</v>
      </c>
      <c r="L27" s="49">
        <v>0.36399999999999999</v>
      </c>
      <c r="M27" s="49">
        <v>4.3999999999999997E-2</v>
      </c>
      <c r="N27" s="37"/>
    </row>
    <row r="28" spans="1:14" x14ac:dyDescent="0.25">
      <c r="A28" s="2" t="s">
        <v>83</v>
      </c>
      <c r="B28" s="2">
        <v>8</v>
      </c>
      <c r="C28" s="5">
        <v>10843914</v>
      </c>
      <c r="D28" s="2">
        <v>6</v>
      </c>
      <c r="E28" s="5">
        <v>9319249</v>
      </c>
      <c r="F28" s="49">
        <f t="shared" si="0"/>
        <v>0.75</v>
      </c>
      <c r="G28" s="49">
        <f t="shared" si="0"/>
        <v>0.85939901404603536</v>
      </c>
      <c r="I28" s="2" t="s">
        <v>83</v>
      </c>
      <c r="J28" s="49">
        <v>0.75</v>
      </c>
      <c r="K28" s="49">
        <v>0.85899999999999999</v>
      </c>
      <c r="L28" s="49">
        <v>0.25</v>
      </c>
      <c r="M28" s="49">
        <v>0.14099999999999999</v>
      </c>
    </row>
    <row r="29" spans="1:14" x14ac:dyDescent="0.25">
      <c r="A29" s="2" t="s">
        <v>98</v>
      </c>
      <c r="B29" s="2">
        <v>18</v>
      </c>
      <c r="C29" s="5">
        <v>25855926</v>
      </c>
      <c r="D29" s="2">
        <v>8</v>
      </c>
      <c r="E29" s="5">
        <v>8373082</v>
      </c>
      <c r="F29" s="49">
        <f t="shared" si="0"/>
        <v>0.44444444444444442</v>
      </c>
      <c r="G29" s="49">
        <f t="shared" si="0"/>
        <v>0.32383609080564357</v>
      </c>
      <c r="I29" s="2" t="s">
        <v>97</v>
      </c>
      <c r="J29" s="49">
        <v>0.44400000000000001</v>
      </c>
      <c r="K29" s="49">
        <v>0.32400000000000001</v>
      </c>
      <c r="L29" s="49">
        <v>0.55600000000000005</v>
      </c>
      <c r="M29" s="49">
        <v>0.67600000000000005</v>
      </c>
    </row>
    <row r="30" spans="1:14" x14ac:dyDescent="0.25">
      <c r="A30" s="2" t="s">
        <v>119</v>
      </c>
      <c r="B30" s="2">
        <v>10</v>
      </c>
      <c r="C30" s="5">
        <v>82393880</v>
      </c>
      <c r="D30" s="2">
        <v>5</v>
      </c>
      <c r="E30" s="5">
        <v>27171309</v>
      </c>
      <c r="F30" s="49">
        <f t="shared" si="0"/>
        <v>0.5</v>
      </c>
      <c r="G30" s="49">
        <f t="shared" si="0"/>
        <v>0.32977338850895238</v>
      </c>
      <c r="I30" s="2" t="s">
        <v>119</v>
      </c>
      <c r="J30" s="49">
        <f t="shared" ref="J30:K32" si="1">F30</f>
        <v>0.5</v>
      </c>
      <c r="K30" s="49">
        <f t="shared" si="1"/>
        <v>0.32977338850895238</v>
      </c>
      <c r="L30" s="143">
        <v>0.5</v>
      </c>
      <c r="M30" s="143">
        <v>0.67</v>
      </c>
    </row>
    <row r="31" spans="1:14" x14ac:dyDescent="0.25">
      <c r="A31" s="2" t="s">
        <v>134</v>
      </c>
      <c r="B31" s="2">
        <v>11</v>
      </c>
      <c r="C31" s="5">
        <v>32746854</v>
      </c>
      <c r="D31" s="2">
        <v>6</v>
      </c>
      <c r="E31" s="5">
        <v>22497571</v>
      </c>
      <c r="F31" s="49">
        <f t="shared" si="0"/>
        <v>0.54545454545454541</v>
      </c>
      <c r="G31" s="49">
        <f t="shared" si="0"/>
        <v>0.6870147281934319</v>
      </c>
      <c r="I31" s="2" t="s">
        <v>134</v>
      </c>
      <c r="J31" s="49">
        <f t="shared" si="1"/>
        <v>0.54545454545454541</v>
      </c>
      <c r="K31" s="49">
        <f t="shared" si="1"/>
        <v>0.6870147281934319</v>
      </c>
      <c r="L31" s="143">
        <v>0.45500000000000002</v>
      </c>
      <c r="M31" s="143">
        <v>0.36199999999999999</v>
      </c>
    </row>
    <row r="32" spans="1:14" x14ac:dyDescent="0.25">
      <c r="A32" s="2" t="s">
        <v>208</v>
      </c>
      <c r="B32" s="2">
        <v>12</v>
      </c>
      <c r="C32" s="5">
        <v>90023803</v>
      </c>
      <c r="D32" s="2">
        <v>5</v>
      </c>
      <c r="E32" s="5">
        <v>43957037</v>
      </c>
      <c r="F32" s="49">
        <f t="shared" si="0"/>
        <v>0.41666666666666669</v>
      </c>
      <c r="G32" s="49">
        <f t="shared" si="0"/>
        <v>0.48828238238280158</v>
      </c>
      <c r="I32" s="2" t="s">
        <v>208</v>
      </c>
      <c r="J32" s="49">
        <f t="shared" si="1"/>
        <v>0.41666666666666669</v>
      </c>
      <c r="K32" s="49">
        <f t="shared" si="1"/>
        <v>0.48828238238280158</v>
      </c>
      <c r="L32" s="49">
        <v>0.58299999999999996</v>
      </c>
      <c r="M32" s="49">
        <v>0.51200000000000001</v>
      </c>
    </row>
    <row r="33" spans="1:13" x14ac:dyDescent="0.25">
      <c r="A33" s="73" t="s">
        <v>219</v>
      </c>
      <c r="B33" s="73">
        <v>22</v>
      </c>
      <c r="C33" s="5">
        <v>72945094</v>
      </c>
      <c r="D33" s="73">
        <v>7</v>
      </c>
      <c r="E33" s="5">
        <v>29143783</v>
      </c>
      <c r="F33" s="49">
        <f t="shared" si="0"/>
        <v>0.31818181818181818</v>
      </c>
      <c r="G33" s="49">
        <f t="shared" si="0"/>
        <v>0.39953040570487169</v>
      </c>
      <c r="I33" s="73" t="s">
        <v>219</v>
      </c>
      <c r="J33" s="49">
        <f>F33</f>
        <v>0.31818181818181818</v>
      </c>
      <c r="K33" s="49">
        <f>G33</f>
        <v>0.39953040570487169</v>
      </c>
      <c r="L33" s="49">
        <v>0.68200000000000005</v>
      </c>
      <c r="M33" s="49">
        <v>0.6</v>
      </c>
    </row>
    <row r="34" spans="1:13" x14ac:dyDescent="0.25">
      <c r="C34" s="68"/>
      <c r="E34" s="68"/>
      <c r="F34" s="37"/>
      <c r="G34" s="37"/>
      <c r="J34" s="37"/>
      <c r="K34" s="37"/>
      <c r="L34" s="37"/>
      <c r="M34" s="37"/>
    </row>
    <row r="66" spans="1:12" ht="28.5" customHeight="1" x14ac:dyDescent="0.25">
      <c r="A66" s="316" t="s">
        <v>190</v>
      </c>
      <c r="B66" s="317"/>
      <c r="C66" s="317"/>
      <c r="D66" s="317"/>
      <c r="E66" s="317"/>
      <c r="F66" s="317"/>
      <c r="G66" s="317"/>
      <c r="H66" s="317"/>
      <c r="I66" s="317"/>
    </row>
    <row r="67" spans="1:12" x14ac:dyDescent="0.25">
      <c r="A67" s="258"/>
      <c r="B67" s="315" t="s">
        <v>104</v>
      </c>
      <c r="C67" s="315"/>
      <c r="D67" s="315" t="s">
        <v>75</v>
      </c>
      <c r="E67" s="315"/>
      <c r="F67" s="310" t="s">
        <v>72</v>
      </c>
      <c r="G67" s="311"/>
      <c r="H67" s="310" t="s">
        <v>76</v>
      </c>
      <c r="I67" s="311"/>
    </row>
    <row r="68" spans="1:12" ht="69" customHeight="1" thickBot="1" x14ac:dyDescent="0.3">
      <c r="A68" s="259"/>
      <c r="B68" s="85" t="s">
        <v>67</v>
      </c>
      <c r="C68" s="202" t="s">
        <v>21</v>
      </c>
      <c r="D68" s="85" t="s">
        <v>67</v>
      </c>
      <c r="E68" s="202" t="s">
        <v>21</v>
      </c>
      <c r="F68" s="85" t="s">
        <v>65</v>
      </c>
      <c r="G68" s="202" t="s">
        <v>21</v>
      </c>
      <c r="H68" s="85" t="s">
        <v>65</v>
      </c>
      <c r="I68" s="202" t="s">
        <v>21</v>
      </c>
    </row>
    <row r="69" spans="1:12" ht="15.75" thickTop="1" x14ac:dyDescent="0.25">
      <c r="A69" s="6" t="s">
        <v>4</v>
      </c>
      <c r="B69" s="50"/>
      <c r="C69" s="51"/>
      <c r="D69" s="50"/>
      <c r="E69" s="51"/>
      <c r="F69" s="50"/>
      <c r="G69" s="51"/>
      <c r="H69" s="50"/>
      <c r="I69" s="51"/>
    </row>
    <row r="70" spans="1:12" x14ac:dyDescent="0.25">
      <c r="A70" s="2" t="s">
        <v>6</v>
      </c>
      <c r="B70" s="49"/>
      <c r="C70" s="52"/>
      <c r="D70" s="49">
        <f>E90/K90</f>
        <v>1</v>
      </c>
      <c r="E70" s="52">
        <f>F90/L90</f>
        <v>1</v>
      </c>
      <c r="F70" s="49"/>
      <c r="G70" s="52"/>
      <c r="H70" s="49"/>
      <c r="I70" s="52"/>
    </row>
    <row r="71" spans="1:12" x14ac:dyDescent="0.25">
      <c r="A71" s="2" t="s">
        <v>7</v>
      </c>
      <c r="B71" s="49"/>
      <c r="C71" s="52"/>
      <c r="D71" s="49">
        <f>E93/K93</f>
        <v>1</v>
      </c>
      <c r="E71" s="52">
        <f>F93/L93</f>
        <v>1</v>
      </c>
      <c r="F71" s="49"/>
      <c r="G71" s="52"/>
      <c r="H71" s="49"/>
      <c r="I71" s="52"/>
    </row>
    <row r="72" spans="1:12" x14ac:dyDescent="0.25">
      <c r="A72" s="2" t="s">
        <v>8</v>
      </c>
      <c r="B72" s="49"/>
      <c r="C72" s="52"/>
      <c r="D72" s="49">
        <f>E96/K96</f>
        <v>0.7142857142857143</v>
      </c>
      <c r="E72" s="52">
        <f>F96/L96</f>
        <v>0.88411203269838545</v>
      </c>
      <c r="F72" s="49">
        <f>G96/K96</f>
        <v>0.14285714285714285</v>
      </c>
      <c r="G72" s="52">
        <f>H96/L96</f>
        <v>3.6823527742513872E-2</v>
      </c>
      <c r="H72" s="49">
        <f>I96/K96</f>
        <v>0.14285714285714285</v>
      </c>
      <c r="I72" s="52">
        <f>J96/L96</f>
        <v>7.9064439559100641E-2</v>
      </c>
    </row>
    <row r="73" spans="1:12" x14ac:dyDescent="0.25">
      <c r="A73" s="2" t="s">
        <v>83</v>
      </c>
      <c r="B73" s="49"/>
      <c r="C73" s="52"/>
      <c r="D73" s="49">
        <f>E99/K99</f>
        <v>0.5</v>
      </c>
      <c r="E73" s="52">
        <f>F99/L99</f>
        <v>0.80067335404914552</v>
      </c>
      <c r="F73" s="49">
        <f>G99/K99</f>
        <v>0.33333333333333331</v>
      </c>
      <c r="G73" s="52">
        <f>H99/L99</f>
        <v>0.16554967882317262</v>
      </c>
      <c r="H73" s="49">
        <f>I99/K99</f>
        <v>0.16666666666666666</v>
      </c>
      <c r="I73" s="52">
        <f>J99/L99</f>
        <v>3.3776967127681835E-2</v>
      </c>
    </row>
    <row r="74" spans="1:12" x14ac:dyDescent="0.25">
      <c r="A74" s="2" t="s">
        <v>97</v>
      </c>
      <c r="B74" s="49">
        <f>C102/K102</f>
        <v>0.125</v>
      </c>
      <c r="C74" s="52">
        <f>D102/L102</f>
        <v>1.9106823508954051E-2</v>
      </c>
      <c r="D74" s="49">
        <f>E102/K102</f>
        <v>0.375</v>
      </c>
      <c r="E74" s="52">
        <f>F102/L102</f>
        <v>0.16054817091245493</v>
      </c>
      <c r="F74" s="49">
        <f>G102/K102</f>
        <v>0.5</v>
      </c>
      <c r="G74" s="52">
        <f>H102/L102</f>
        <v>0.82034500557859102</v>
      </c>
      <c r="H74" s="49"/>
      <c r="I74" s="52"/>
    </row>
    <row r="75" spans="1:12" x14ac:dyDescent="0.25">
      <c r="A75" s="2" t="s">
        <v>119</v>
      </c>
      <c r="B75" s="49">
        <f>C106/K106</f>
        <v>0.2</v>
      </c>
      <c r="C75" s="52">
        <f>D106/L106</f>
        <v>0.46556461449832987</v>
      </c>
      <c r="D75" s="49">
        <f>E106/K106</f>
        <v>0.6</v>
      </c>
      <c r="E75" s="52">
        <f>F106/L106</f>
        <v>0.51787379842465453</v>
      </c>
      <c r="F75" s="49">
        <f>G106/K106</f>
        <v>0.2</v>
      </c>
      <c r="G75" s="52">
        <f>H106/L106</f>
        <v>1.6561587077015685E-2</v>
      </c>
      <c r="H75" s="49"/>
      <c r="I75" s="52"/>
    </row>
    <row r="76" spans="1:12" x14ac:dyDescent="0.25">
      <c r="A76" s="2" t="s">
        <v>134</v>
      </c>
      <c r="B76" s="50"/>
      <c r="C76" s="52"/>
      <c r="D76" s="49">
        <v>1</v>
      </c>
      <c r="E76" s="52">
        <v>1</v>
      </c>
      <c r="F76" s="50"/>
      <c r="G76" s="52"/>
      <c r="H76" s="50"/>
      <c r="I76" s="52"/>
    </row>
    <row r="77" spans="1:12" x14ac:dyDescent="0.25">
      <c r="A77" s="2" t="s">
        <v>208</v>
      </c>
      <c r="B77" s="50"/>
      <c r="C77" s="52"/>
      <c r="D77" s="49">
        <v>0.8</v>
      </c>
      <c r="E77" s="52">
        <v>0.55400000000000005</v>
      </c>
      <c r="F77" s="49">
        <v>0.2</v>
      </c>
      <c r="G77" s="52">
        <v>0.44600000000000001</v>
      </c>
      <c r="H77" s="50"/>
      <c r="I77" s="52"/>
    </row>
    <row r="78" spans="1:12" x14ac:dyDescent="0.25">
      <c r="A78" s="73" t="s">
        <v>219</v>
      </c>
      <c r="B78" s="50"/>
      <c r="C78" s="52"/>
      <c r="D78" s="49">
        <v>0.71399999999999997</v>
      </c>
      <c r="E78" s="52">
        <v>0.754</v>
      </c>
      <c r="F78" s="49">
        <v>0.28599999999999998</v>
      </c>
      <c r="G78" s="52">
        <v>0.246</v>
      </c>
      <c r="H78" s="50"/>
      <c r="I78" s="52"/>
    </row>
    <row r="80" spans="1:12" x14ac:dyDescent="0.25">
      <c r="A80" s="318" t="s">
        <v>200</v>
      </c>
      <c r="B80" s="252"/>
      <c r="C80" s="252"/>
      <c r="D80" s="252"/>
      <c r="E80" s="252"/>
      <c r="F80" s="252"/>
      <c r="G80" s="252"/>
      <c r="H80" s="252"/>
      <c r="I80" s="252"/>
      <c r="J80" s="252"/>
      <c r="K80" s="252"/>
      <c r="L80" s="252"/>
    </row>
    <row r="82" spans="1:12" ht="14.25" customHeight="1" x14ac:dyDescent="0.25">
      <c r="A82" s="258"/>
      <c r="B82" s="312" t="s">
        <v>38</v>
      </c>
      <c r="C82" s="271" t="s">
        <v>82</v>
      </c>
      <c r="D82" s="271"/>
      <c r="E82" s="271"/>
      <c r="F82" s="271"/>
      <c r="G82" s="271"/>
      <c r="H82" s="271"/>
      <c r="I82" s="271"/>
      <c r="J82" s="271"/>
      <c r="K82" s="271"/>
      <c r="L82" s="271"/>
    </row>
    <row r="83" spans="1:12" ht="31.5" customHeight="1" x14ac:dyDescent="0.25">
      <c r="A83" s="282"/>
      <c r="B83" s="313"/>
      <c r="C83" s="319" t="s">
        <v>102</v>
      </c>
      <c r="D83" s="319"/>
      <c r="E83" s="319" t="s">
        <v>68</v>
      </c>
      <c r="F83" s="319"/>
      <c r="G83" s="320" t="s">
        <v>69</v>
      </c>
      <c r="H83" s="321"/>
      <c r="I83" s="320" t="s">
        <v>70</v>
      </c>
      <c r="J83" s="322"/>
      <c r="K83" s="277" t="s">
        <v>74</v>
      </c>
      <c r="L83" s="278"/>
    </row>
    <row r="84" spans="1:12" ht="45.75" thickBot="1" x14ac:dyDescent="0.3">
      <c r="A84" s="259"/>
      <c r="B84" s="314"/>
      <c r="C84" s="85" t="s">
        <v>65</v>
      </c>
      <c r="D84" s="202" t="s">
        <v>21</v>
      </c>
      <c r="E84" s="85" t="s">
        <v>65</v>
      </c>
      <c r="F84" s="202" t="s">
        <v>21</v>
      </c>
      <c r="G84" s="85" t="s">
        <v>65</v>
      </c>
      <c r="H84" s="202" t="s">
        <v>21</v>
      </c>
      <c r="I84" s="85" t="s">
        <v>65</v>
      </c>
      <c r="J84" s="202" t="s">
        <v>21</v>
      </c>
      <c r="K84" s="224" t="s">
        <v>65</v>
      </c>
      <c r="L84" s="202" t="s">
        <v>21</v>
      </c>
    </row>
    <row r="85" spans="1:12" ht="15.75" thickTop="1" x14ac:dyDescent="0.25">
      <c r="A85" s="308" t="s">
        <v>4</v>
      </c>
      <c r="B85" s="6" t="s">
        <v>63</v>
      </c>
      <c r="C85" s="6"/>
      <c r="D85" s="6"/>
      <c r="E85" s="17"/>
      <c r="F85" s="17"/>
      <c r="G85" s="17"/>
      <c r="H85" s="17"/>
      <c r="I85" s="17"/>
      <c r="J85" s="18"/>
      <c r="K85" s="94"/>
      <c r="L85" s="86"/>
    </row>
    <row r="86" spans="1:12" x14ac:dyDescent="0.25">
      <c r="A86" s="282"/>
      <c r="B86" s="2" t="s">
        <v>64</v>
      </c>
      <c r="C86" s="2"/>
      <c r="D86" s="2"/>
      <c r="E86" s="5"/>
      <c r="F86" s="5"/>
      <c r="G86" s="5"/>
      <c r="H86" s="5"/>
      <c r="I86" s="5"/>
      <c r="J86" s="29"/>
      <c r="K86" s="95"/>
      <c r="L86" s="90"/>
    </row>
    <row r="87" spans="1:12" x14ac:dyDescent="0.25">
      <c r="A87" s="309"/>
      <c r="B87" s="88" t="s">
        <v>3</v>
      </c>
      <c r="C87" s="124"/>
      <c r="D87" s="124"/>
      <c r="E87" s="89"/>
      <c r="F87" s="89"/>
      <c r="G87" s="89"/>
      <c r="H87" s="89"/>
      <c r="I87" s="89"/>
      <c r="J87" s="92"/>
      <c r="K87" s="95"/>
      <c r="L87" s="90"/>
    </row>
    <row r="88" spans="1:12" x14ac:dyDescent="0.25">
      <c r="A88" s="258" t="s">
        <v>6</v>
      </c>
      <c r="B88" s="2" t="s">
        <v>63</v>
      </c>
      <c r="C88" s="2"/>
      <c r="D88" s="2"/>
      <c r="E88" s="5">
        <v>1</v>
      </c>
      <c r="F88" s="5">
        <v>865374</v>
      </c>
      <c r="G88" s="5"/>
      <c r="H88" s="5"/>
      <c r="I88" s="5"/>
      <c r="J88" s="29"/>
      <c r="K88" s="95"/>
      <c r="L88" s="90"/>
    </row>
    <row r="89" spans="1:12" x14ac:dyDescent="0.25">
      <c r="A89" s="282"/>
      <c r="B89" s="2" t="s">
        <v>64</v>
      </c>
      <c r="C89" s="2"/>
      <c r="D89" s="2"/>
      <c r="E89" s="5">
        <v>1</v>
      </c>
      <c r="F89" s="5">
        <v>1802559</v>
      </c>
      <c r="G89" s="5"/>
      <c r="H89" s="5"/>
      <c r="I89" s="5"/>
      <c r="J89" s="29"/>
      <c r="K89" s="95"/>
      <c r="L89" s="90"/>
    </row>
    <row r="90" spans="1:12" x14ac:dyDescent="0.25">
      <c r="A90" s="309"/>
      <c r="B90" s="88" t="s">
        <v>3</v>
      </c>
      <c r="C90" s="124"/>
      <c r="D90" s="124"/>
      <c r="E90" s="71">
        <f>SUM(E88:E89)</f>
        <v>2</v>
      </c>
      <c r="F90" s="71">
        <f>SUM(F88:F89)</f>
        <v>2667933</v>
      </c>
      <c r="G90" s="89"/>
      <c r="H90" s="89"/>
      <c r="I90" s="89"/>
      <c r="J90" s="92"/>
      <c r="K90" s="96">
        <f>E90</f>
        <v>2</v>
      </c>
      <c r="L90" s="91">
        <f>F90</f>
        <v>2667933</v>
      </c>
    </row>
    <row r="91" spans="1:12" x14ac:dyDescent="0.25">
      <c r="A91" s="258" t="s">
        <v>7</v>
      </c>
      <c r="B91" s="2" t="s">
        <v>63</v>
      </c>
      <c r="C91" s="2"/>
      <c r="D91" s="2"/>
      <c r="E91" s="5">
        <v>2</v>
      </c>
      <c r="F91" s="5">
        <v>2916217</v>
      </c>
      <c r="G91" s="5"/>
      <c r="H91" s="5"/>
      <c r="I91" s="5"/>
      <c r="J91" s="29"/>
      <c r="K91" s="95"/>
      <c r="L91" s="90"/>
    </row>
    <row r="92" spans="1:12" x14ac:dyDescent="0.25">
      <c r="A92" s="282"/>
      <c r="B92" s="2" t="s">
        <v>64</v>
      </c>
      <c r="C92" s="2"/>
      <c r="D92" s="2"/>
      <c r="E92" s="5">
        <v>1</v>
      </c>
      <c r="F92" s="5">
        <v>1310273</v>
      </c>
      <c r="G92" s="5"/>
      <c r="H92" s="5"/>
      <c r="I92" s="5"/>
      <c r="J92" s="29"/>
      <c r="K92" s="95"/>
      <c r="L92" s="90"/>
    </row>
    <row r="93" spans="1:12" x14ac:dyDescent="0.25">
      <c r="A93" s="309"/>
      <c r="B93" s="88" t="s">
        <v>3</v>
      </c>
      <c r="C93" s="124"/>
      <c r="D93" s="124"/>
      <c r="E93" s="71">
        <f>SUM(E91:E92)</f>
        <v>3</v>
      </c>
      <c r="F93" s="71">
        <f>SUM(F91:F92)</f>
        <v>4226490</v>
      </c>
      <c r="G93" s="89"/>
      <c r="H93" s="89"/>
      <c r="I93" s="89"/>
      <c r="J93" s="92"/>
      <c r="K93" s="96">
        <f>E93</f>
        <v>3</v>
      </c>
      <c r="L93" s="91">
        <f>F93</f>
        <v>4226490</v>
      </c>
    </row>
    <row r="94" spans="1:12" x14ac:dyDescent="0.25">
      <c r="A94" s="271" t="s">
        <v>8</v>
      </c>
      <c r="B94" s="2" t="s">
        <v>63</v>
      </c>
      <c r="C94" s="2"/>
      <c r="D94" s="2"/>
      <c r="E94" s="5">
        <v>4</v>
      </c>
      <c r="F94" s="5">
        <v>75709647</v>
      </c>
      <c r="G94" s="5">
        <v>1</v>
      </c>
      <c r="H94" s="5">
        <v>3181818</v>
      </c>
      <c r="I94" s="5"/>
      <c r="J94" s="29"/>
      <c r="K94" s="95"/>
      <c r="L94" s="90"/>
    </row>
    <row r="95" spans="1:12" x14ac:dyDescent="0.25">
      <c r="A95" s="271"/>
      <c r="B95" s="2" t="s">
        <v>64</v>
      </c>
      <c r="C95" s="2"/>
      <c r="D95" s="2"/>
      <c r="E95" s="5">
        <v>1</v>
      </c>
      <c r="F95" s="5">
        <v>684000</v>
      </c>
      <c r="G95" s="5"/>
      <c r="H95" s="5"/>
      <c r="I95" s="5">
        <v>1</v>
      </c>
      <c r="J95" s="29">
        <v>6831737</v>
      </c>
      <c r="K95" s="95"/>
      <c r="L95" s="90"/>
    </row>
    <row r="96" spans="1:12" x14ac:dyDescent="0.25">
      <c r="A96" s="271"/>
      <c r="B96" s="88" t="s">
        <v>3</v>
      </c>
      <c r="C96" s="124"/>
      <c r="D96" s="124"/>
      <c r="E96" s="71">
        <f>SUM(E94:E95)</f>
        <v>5</v>
      </c>
      <c r="F96" s="71">
        <f>SUM(F94:F95)</f>
        <v>76393647</v>
      </c>
      <c r="G96" s="71">
        <f>SUM(G94:G95)</f>
        <v>1</v>
      </c>
      <c r="H96" s="71">
        <f>SUM(H94:H95)</f>
        <v>3181818</v>
      </c>
      <c r="I96" s="71">
        <f>SUM(I95)</f>
        <v>1</v>
      </c>
      <c r="J96" s="93">
        <f>SUM(J95)</f>
        <v>6831737</v>
      </c>
      <c r="K96" s="96">
        <f>E96+G96+I96</f>
        <v>7</v>
      </c>
      <c r="L96" s="91">
        <f>F96+H96+J96</f>
        <v>86407202</v>
      </c>
    </row>
    <row r="97" spans="1:12" x14ac:dyDescent="0.25">
      <c r="A97" s="271" t="s">
        <v>83</v>
      </c>
      <c r="B97" s="2" t="s">
        <v>63</v>
      </c>
      <c r="C97" s="2"/>
      <c r="D97" s="2"/>
      <c r="E97" s="5">
        <v>2</v>
      </c>
      <c r="F97" s="5">
        <v>6077860</v>
      </c>
      <c r="G97" s="5">
        <v>2</v>
      </c>
      <c r="H97" s="5">
        <v>1377249</v>
      </c>
      <c r="I97" s="5"/>
      <c r="J97" s="29"/>
      <c r="K97" s="95"/>
      <c r="L97" s="90"/>
    </row>
    <row r="98" spans="1:12" x14ac:dyDescent="0.25">
      <c r="A98" s="271"/>
      <c r="B98" s="2" t="s">
        <v>64</v>
      </c>
      <c r="C98" s="2"/>
      <c r="D98" s="2"/>
      <c r="E98" s="5">
        <v>1</v>
      </c>
      <c r="F98" s="5">
        <v>583141</v>
      </c>
      <c r="G98" s="5"/>
      <c r="H98" s="5"/>
      <c r="I98" s="5">
        <v>1</v>
      </c>
      <c r="J98" s="29">
        <v>280999</v>
      </c>
      <c r="K98" s="95"/>
      <c r="L98" s="90"/>
    </row>
    <row r="99" spans="1:12" x14ac:dyDescent="0.25">
      <c r="A99" s="271"/>
      <c r="B99" s="88" t="s">
        <v>3</v>
      </c>
      <c r="C99" s="124"/>
      <c r="D99" s="124"/>
      <c r="E99" s="71">
        <f>E97+E98</f>
        <v>3</v>
      </c>
      <c r="F99" s="71">
        <f>F98+F97</f>
        <v>6661001</v>
      </c>
      <c r="G99" s="71">
        <f>G97</f>
        <v>2</v>
      </c>
      <c r="H99" s="71">
        <f>H97</f>
        <v>1377249</v>
      </c>
      <c r="I99" s="71">
        <f>I98</f>
        <v>1</v>
      </c>
      <c r="J99" s="93">
        <f>J98</f>
        <v>280999</v>
      </c>
      <c r="K99" s="96">
        <f>E99+G99+I99</f>
        <v>6</v>
      </c>
      <c r="L99" s="91">
        <f>F99+H99+J99</f>
        <v>8319249</v>
      </c>
    </row>
    <row r="100" spans="1:12" x14ac:dyDescent="0.25">
      <c r="A100" s="271" t="s">
        <v>97</v>
      </c>
      <c r="B100" s="2" t="s">
        <v>63</v>
      </c>
      <c r="C100" s="2">
        <v>1</v>
      </c>
      <c r="D100" s="5">
        <v>159983</v>
      </c>
      <c r="E100" s="5">
        <v>3</v>
      </c>
      <c r="F100" s="5">
        <v>1344283</v>
      </c>
      <c r="G100" s="5">
        <v>4</v>
      </c>
      <c r="H100" s="5">
        <v>6868816</v>
      </c>
      <c r="I100" s="5"/>
      <c r="J100" s="29"/>
      <c r="K100" s="95"/>
      <c r="L100" s="90"/>
    </row>
    <row r="101" spans="1:12" x14ac:dyDescent="0.25">
      <c r="A101" s="271"/>
      <c r="B101" s="2" t="s">
        <v>64</v>
      </c>
      <c r="C101" s="2"/>
      <c r="D101" s="2"/>
      <c r="E101" s="5"/>
      <c r="F101" s="5"/>
      <c r="G101" s="5"/>
      <c r="H101" s="5"/>
      <c r="I101" s="5"/>
      <c r="J101" s="29"/>
      <c r="K101" s="95"/>
      <c r="L101" s="90"/>
    </row>
    <row r="102" spans="1:12" x14ac:dyDescent="0.25">
      <c r="A102" s="271"/>
      <c r="B102" s="88" t="s">
        <v>3</v>
      </c>
      <c r="C102" s="125">
        <f>C100</f>
        <v>1</v>
      </c>
      <c r="D102" s="126">
        <f>D100</f>
        <v>159983</v>
      </c>
      <c r="E102" s="71">
        <f>E100+E101</f>
        <v>3</v>
      </c>
      <c r="F102" s="71">
        <f>F101+F100</f>
        <v>1344283</v>
      </c>
      <c r="G102" s="71">
        <f>G100</f>
        <v>4</v>
      </c>
      <c r="H102" s="71">
        <f>H100</f>
        <v>6868816</v>
      </c>
      <c r="I102" s="71"/>
      <c r="J102" s="93"/>
      <c r="K102" s="96">
        <f>C102+E102+G102</f>
        <v>8</v>
      </c>
      <c r="L102" s="91">
        <f>D102+F102+H102</f>
        <v>8373082</v>
      </c>
    </row>
    <row r="103" spans="1:12" x14ac:dyDescent="0.25">
      <c r="A103" s="271" t="s">
        <v>119</v>
      </c>
      <c r="B103" s="225" t="s">
        <v>62</v>
      </c>
      <c r="C103" s="2">
        <v>1</v>
      </c>
      <c r="D103" s="5">
        <v>12650000</v>
      </c>
      <c r="E103" s="5"/>
      <c r="F103" s="5"/>
      <c r="G103" s="5"/>
      <c r="H103" s="5"/>
      <c r="I103" s="5"/>
      <c r="J103" s="29"/>
      <c r="K103" s="95"/>
      <c r="L103" s="90"/>
    </row>
    <row r="104" spans="1:12" x14ac:dyDescent="0.25">
      <c r="A104" s="271"/>
      <c r="B104" s="2" t="s">
        <v>63</v>
      </c>
      <c r="C104" s="2"/>
      <c r="D104" s="5"/>
      <c r="E104" s="5">
        <v>2</v>
      </c>
      <c r="F104" s="5">
        <v>9608500</v>
      </c>
      <c r="G104" s="5">
        <v>1</v>
      </c>
      <c r="H104" s="5">
        <v>450000</v>
      </c>
      <c r="I104" s="5"/>
      <c r="J104" s="29"/>
      <c r="K104" s="95"/>
      <c r="L104" s="90"/>
    </row>
    <row r="105" spans="1:12" x14ac:dyDescent="0.25">
      <c r="A105" s="271"/>
      <c r="B105" s="2" t="s">
        <v>64</v>
      </c>
      <c r="C105" s="2"/>
      <c r="D105" s="2"/>
      <c r="E105" s="5">
        <v>1</v>
      </c>
      <c r="F105" s="5">
        <v>4462809</v>
      </c>
      <c r="G105" s="5"/>
      <c r="H105" s="5"/>
      <c r="I105" s="5"/>
      <c r="J105" s="29"/>
      <c r="K105" s="95"/>
      <c r="L105" s="90"/>
    </row>
    <row r="106" spans="1:12" x14ac:dyDescent="0.25">
      <c r="A106" s="271"/>
      <c r="B106" s="88" t="s">
        <v>3</v>
      </c>
      <c r="C106" s="125">
        <f>C103</f>
        <v>1</v>
      </c>
      <c r="D106" s="126">
        <f>D103</f>
        <v>12650000</v>
      </c>
      <c r="E106" s="71">
        <f>E105+E104</f>
        <v>3</v>
      </c>
      <c r="F106" s="71">
        <f>F105+F104</f>
        <v>14071309</v>
      </c>
      <c r="G106" s="71">
        <f>G104</f>
        <v>1</v>
      </c>
      <c r="H106" s="71">
        <f>H104</f>
        <v>450000</v>
      </c>
      <c r="I106" s="71"/>
      <c r="J106" s="93"/>
      <c r="K106" s="96">
        <f>C106+E106+G106</f>
        <v>5</v>
      </c>
      <c r="L106" s="91">
        <f>D106+F106+H106+J106</f>
        <v>27171309</v>
      </c>
    </row>
    <row r="107" spans="1:12" x14ac:dyDescent="0.25">
      <c r="A107" s="271" t="s">
        <v>134</v>
      </c>
      <c r="B107" s="225" t="s">
        <v>62</v>
      </c>
      <c r="C107" s="2"/>
      <c r="D107" s="2"/>
      <c r="E107" s="2"/>
      <c r="F107" s="2"/>
      <c r="G107" s="2"/>
      <c r="H107" s="2"/>
      <c r="I107" s="2"/>
      <c r="J107" s="39"/>
      <c r="K107" s="95"/>
      <c r="L107" s="90"/>
    </row>
    <row r="108" spans="1:12" x14ac:dyDescent="0.25">
      <c r="A108" s="271"/>
      <c r="B108" s="2" t="s">
        <v>63</v>
      </c>
      <c r="C108" s="2"/>
      <c r="D108" s="2"/>
      <c r="E108" s="2">
        <v>4</v>
      </c>
      <c r="F108" s="5">
        <v>20847158</v>
      </c>
      <c r="G108" s="2"/>
      <c r="H108" s="2"/>
      <c r="I108" s="2"/>
      <c r="J108" s="39"/>
      <c r="K108" s="95"/>
      <c r="L108" s="90"/>
    </row>
    <row r="109" spans="1:12" x14ac:dyDescent="0.25">
      <c r="A109" s="271"/>
      <c r="B109" s="2" t="s">
        <v>64</v>
      </c>
      <c r="C109" s="2"/>
      <c r="D109" s="2"/>
      <c r="E109" s="2">
        <v>2</v>
      </c>
      <c r="F109" s="5">
        <v>1650413</v>
      </c>
      <c r="G109" s="2"/>
      <c r="H109" s="2"/>
      <c r="I109" s="2"/>
      <c r="J109" s="39"/>
      <c r="K109" s="95"/>
      <c r="L109" s="90"/>
    </row>
    <row r="110" spans="1:12" x14ac:dyDescent="0.25">
      <c r="A110" s="271"/>
      <c r="B110" s="88" t="s">
        <v>3</v>
      </c>
      <c r="C110" s="124"/>
      <c r="D110" s="124"/>
      <c r="E110" s="160">
        <f>E109+E108</f>
        <v>6</v>
      </c>
      <c r="F110" s="161">
        <f>F109+F108</f>
        <v>22497571</v>
      </c>
      <c r="G110" s="124"/>
      <c r="H110" s="124"/>
      <c r="I110" s="124"/>
      <c r="J110" s="151"/>
      <c r="K110" s="162">
        <f>E110</f>
        <v>6</v>
      </c>
      <c r="L110" s="163">
        <f>F110</f>
        <v>22497571</v>
      </c>
    </row>
    <row r="111" spans="1:12" x14ac:dyDescent="0.25">
      <c r="A111" s="271" t="s">
        <v>208</v>
      </c>
      <c r="B111" s="225" t="s">
        <v>62</v>
      </c>
      <c r="C111" s="2"/>
      <c r="D111" s="2"/>
      <c r="E111" s="2"/>
      <c r="F111" s="2"/>
      <c r="G111" s="2"/>
      <c r="H111" s="2"/>
      <c r="I111" s="2"/>
      <c r="J111" s="39"/>
      <c r="K111" s="95"/>
      <c r="L111" s="90"/>
    </row>
    <row r="112" spans="1:12" x14ac:dyDescent="0.25">
      <c r="A112" s="271"/>
      <c r="B112" s="2" t="s">
        <v>63</v>
      </c>
      <c r="C112" s="2"/>
      <c r="D112" s="2"/>
      <c r="E112" s="2">
        <v>2</v>
      </c>
      <c r="F112" s="5">
        <v>17739579</v>
      </c>
      <c r="G112" s="5">
        <v>1</v>
      </c>
      <c r="H112" s="5">
        <v>19620346</v>
      </c>
      <c r="I112" s="2"/>
      <c r="J112" s="39"/>
      <c r="K112" s="95"/>
      <c r="L112" s="90"/>
    </row>
    <row r="113" spans="1:12" x14ac:dyDescent="0.25">
      <c r="A113" s="271"/>
      <c r="B113" s="2" t="s">
        <v>64</v>
      </c>
      <c r="C113" s="2"/>
      <c r="D113" s="2"/>
      <c r="E113" s="2">
        <v>2</v>
      </c>
      <c r="F113" s="5">
        <v>6597112</v>
      </c>
      <c r="G113" s="5"/>
      <c r="H113" s="5"/>
      <c r="I113" s="2"/>
      <c r="J113" s="39"/>
      <c r="K113" s="95"/>
      <c r="L113" s="90"/>
    </row>
    <row r="114" spans="1:12" x14ac:dyDescent="0.25">
      <c r="A114" s="271"/>
      <c r="B114" s="88" t="s">
        <v>3</v>
      </c>
      <c r="C114" s="124"/>
      <c r="D114" s="124"/>
      <c r="E114" s="160">
        <f>E113+E112</f>
        <v>4</v>
      </c>
      <c r="F114" s="161">
        <f>F113+F112</f>
        <v>24336691</v>
      </c>
      <c r="G114" s="161">
        <f>SUM(G112:G113)</f>
        <v>1</v>
      </c>
      <c r="H114" s="161">
        <f>H112</f>
        <v>19620346</v>
      </c>
      <c r="I114" s="124"/>
      <c r="J114" s="151"/>
      <c r="K114" s="162">
        <f>E114+G114</f>
        <v>5</v>
      </c>
      <c r="L114" s="163">
        <f>F114+H114</f>
        <v>43957037</v>
      </c>
    </row>
    <row r="115" spans="1:12" x14ac:dyDescent="0.25">
      <c r="A115" s="271" t="s">
        <v>219</v>
      </c>
      <c r="B115" s="225" t="s">
        <v>62</v>
      </c>
      <c r="C115" s="2"/>
      <c r="D115" s="2"/>
      <c r="E115" s="2"/>
      <c r="F115" s="2"/>
      <c r="G115" s="2"/>
      <c r="H115" s="2"/>
      <c r="I115" s="2"/>
      <c r="J115" s="39"/>
      <c r="K115" s="95"/>
      <c r="L115" s="90"/>
    </row>
    <row r="116" spans="1:12" x14ac:dyDescent="0.25">
      <c r="A116" s="271"/>
      <c r="B116" s="2" t="s">
        <v>63</v>
      </c>
      <c r="C116" s="2"/>
      <c r="D116" s="2"/>
      <c r="E116" s="5">
        <f>1+1</f>
        <v>2</v>
      </c>
      <c r="F116" s="5">
        <f>428000+568000</f>
        <v>996000</v>
      </c>
      <c r="G116" s="5">
        <f>1+1</f>
        <v>2</v>
      </c>
      <c r="H116" s="5">
        <f>6371901+800000</f>
        <v>7171901</v>
      </c>
      <c r="I116" s="2"/>
      <c r="J116" s="39"/>
      <c r="K116" s="95"/>
      <c r="L116" s="90"/>
    </row>
    <row r="117" spans="1:12" x14ac:dyDescent="0.25">
      <c r="A117" s="271"/>
      <c r="B117" s="2" t="s">
        <v>64</v>
      </c>
      <c r="C117" s="2"/>
      <c r="D117" s="2"/>
      <c r="E117" s="5">
        <f>1+1+1</f>
        <v>3</v>
      </c>
      <c r="F117" s="5">
        <f>2117963+13339319+5518600</f>
        <v>20975882</v>
      </c>
      <c r="G117" s="5"/>
      <c r="H117" s="5"/>
      <c r="I117" s="2"/>
      <c r="J117" s="39"/>
      <c r="K117" s="95"/>
      <c r="L117" s="90"/>
    </row>
    <row r="118" spans="1:12" x14ac:dyDescent="0.25">
      <c r="A118" s="271"/>
      <c r="B118" s="88" t="s">
        <v>3</v>
      </c>
      <c r="C118" s="124"/>
      <c r="D118" s="124"/>
      <c r="E118" s="160">
        <f>E117+E116</f>
        <v>5</v>
      </c>
      <c r="F118" s="161">
        <f>F117+F116</f>
        <v>21971882</v>
      </c>
      <c r="G118" s="161">
        <f>SUM(G116:G117)</f>
        <v>2</v>
      </c>
      <c r="H118" s="161">
        <f>H116</f>
        <v>7171901</v>
      </c>
      <c r="I118" s="124"/>
      <c r="J118" s="151"/>
      <c r="K118" s="162">
        <f>E118+G118</f>
        <v>7</v>
      </c>
      <c r="L118" s="163">
        <f>F118+H118</f>
        <v>29143783</v>
      </c>
    </row>
  </sheetData>
  <mergeCells count="33">
    <mergeCell ref="A20:G20"/>
    <mergeCell ref="I20:M20"/>
    <mergeCell ref="A22:A23"/>
    <mergeCell ref="B22:C22"/>
    <mergeCell ref="D22:E22"/>
    <mergeCell ref="F22:G22"/>
    <mergeCell ref="J22:K22"/>
    <mergeCell ref="L22:M22"/>
    <mergeCell ref="A115:A118"/>
    <mergeCell ref="A100:A102"/>
    <mergeCell ref="A80:L80"/>
    <mergeCell ref="A82:A84"/>
    <mergeCell ref="B82:B84"/>
    <mergeCell ref="C82:L82"/>
    <mergeCell ref="C83:D83"/>
    <mergeCell ref="E83:F83"/>
    <mergeCell ref="G83:H83"/>
    <mergeCell ref="I83:J83"/>
    <mergeCell ref="K83:L83"/>
    <mergeCell ref="A85:A87"/>
    <mergeCell ref="A88:A90"/>
    <mergeCell ref="A91:A93"/>
    <mergeCell ref="A94:A96"/>
    <mergeCell ref="A97:A99"/>
    <mergeCell ref="A103:A106"/>
    <mergeCell ref="A107:A110"/>
    <mergeCell ref="A111:A114"/>
    <mergeCell ref="A66:I66"/>
    <mergeCell ref="A67:A68"/>
    <mergeCell ref="B67:C67"/>
    <mergeCell ref="D67:E67"/>
    <mergeCell ref="F67:G67"/>
    <mergeCell ref="H67:I6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82"/>
  <sheetViews>
    <sheetView topLeftCell="A26" zoomScale="80" zoomScaleNormal="80" workbookViewId="0">
      <selection activeCell="E77" sqref="E77"/>
    </sheetView>
  </sheetViews>
  <sheetFormatPr defaultRowHeight="15" x14ac:dyDescent="0.25"/>
  <cols>
    <col min="1" max="1" width="14.5703125" customWidth="1"/>
    <col min="2" max="6" width="12.7109375" customWidth="1"/>
    <col min="7" max="10" width="10.5703125" customWidth="1"/>
    <col min="11" max="11" width="4.5703125" customWidth="1"/>
    <col min="12" max="12" width="10.5703125" customWidth="1"/>
    <col min="13" max="13" width="5.85546875" customWidth="1"/>
    <col min="14" max="14" width="10.85546875" bestFit="1" customWidth="1"/>
    <col min="15" max="15" width="5.85546875" customWidth="1"/>
    <col min="16" max="16" width="10.5703125" customWidth="1"/>
    <col min="17" max="17" width="5.85546875" customWidth="1"/>
    <col min="18" max="18" width="10.5703125" customWidth="1"/>
    <col min="19" max="19" width="6.140625" customWidth="1"/>
    <col min="20" max="20" width="11.28515625" customWidth="1"/>
    <col min="21" max="21" width="6" customWidth="1"/>
    <col min="22" max="22" width="11.28515625" customWidth="1"/>
    <col min="24" max="24" width="9.85546875" bestFit="1" customWidth="1"/>
  </cols>
  <sheetData>
    <row r="1" spans="1:22" ht="15.75" x14ac:dyDescent="0.25">
      <c r="A1" s="72" t="s">
        <v>275</v>
      </c>
    </row>
    <row r="3" spans="1:22" x14ac:dyDescent="0.25">
      <c r="A3" s="326" t="s">
        <v>20</v>
      </c>
      <c r="B3" s="327"/>
      <c r="C3" s="326" t="s">
        <v>219</v>
      </c>
      <c r="D3" s="327"/>
      <c r="E3" s="326" t="s">
        <v>208</v>
      </c>
      <c r="F3" s="327"/>
      <c r="G3" s="326" t="s">
        <v>134</v>
      </c>
      <c r="H3" s="327"/>
      <c r="I3" s="326" t="s">
        <v>119</v>
      </c>
      <c r="J3" s="327"/>
      <c r="K3" s="326" t="s">
        <v>97</v>
      </c>
      <c r="L3" s="327"/>
      <c r="M3" s="271" t="s">
        <v>83</v>
      </c>
      <c r="N3" s="271"/>
      <c r="O3" s="255" t="s">
        <v>8</v>
      </c>
      <c r="P3" s="257"/>
      <c r="Q3" s="255" t="s">
        <v>7</v>
      </c>
      <c r="R3" s="256"/>
      <c r="S3" s="255" t="s">
        <v>6</v>
      </c>
      <c r="T3" s="256"/>
      <c r="U3" s="271" t="s">
        <v>4</v>
      </c>
      <c r="V3" s="271"/>
    </row>
    <row r="4" spans="1:22" ht="84" x14ac:dyDescent="0.25">
      <c r="A4" s="328"/>
      <c r="B4" s="329"/>
      <c r="C4" s="62" t="s">
        <v>0</v>
      </c>
      <c r="D4" s="200" t="s">
        <v>21</v>
      </c>
      <c r="E4" s="62" t="s">
        <v>0</v>
      </c>
      <c r="F4" s="187" t="s">
        <v>21</v>
      </c>
      <c r="G4" s="62" t="s">
        <v>0</v>
      </c>
      <c r="H4" s="145" t="s">
        <v>21</v>
      </c>
      <c r="I4" s="62" t="s">
        <v>0</v>
      </c>
      <c r="J4" s="129" t="s">
        <v>21</v>
      </c>
      <c r="K4" s="62" t="s">
        <v>0</v>
      </c>
      <c r="L4" s="116" t="s">
        <v>21</v>
      </c>
      <c r="M4" s="62" t="s">
        <v>0</v>
      </c>
      <c r="N4" s="98" t="s">
        <v>21</v>
      </c>
      <c r="O4" s="62" t="s">
        <v>0</v>
      </c>
      <c r="P4" s="63" t="s">
        <v>21</v>
      </c>
      <c r="Q4" s="62" t="s">
        <v>0</v>
      </c>
      <c r="R4" s="63" t="s">
        <v>21</v>
      </c>
      <c r="S4" s="62" t="s">
        <v>0</v>
      </c>
      <c r="T4" s="63" t="s">
        <v>21</v>
      </c>
      <c r="U4" s="62" t="s">
        <v>0</v>
      </c>
      <c r="V4" s="63" t="s">
        <v>21</v>
      </c>
    </row>
    <row r="5" spans="1:22" x14ac:dyDescent="0.25">
      <c r="A5" s="324" t="s">
        <v>27</v>
      </c>
      <c r="B5" s="64" t="s">
        <v>14</v>
      </c>
      <c r="C5" s="64"/>
      <c r="D5" s="233"/>
      <c r="E5" s="121"/>
      <c r="F5" s="127"/>
      <c r="G5" s="121"/>
      <c r="H5" s="121"/>
      <c r="I5" s="121"/>
      <c r="J5" s="127"/>
      <c r="K5" s="121">
        <v>1</v>
      </c>
      <c r="L5" s="127">
        <v>1199184</v>
      </c>
      <c r="M5" s="2"/>
      <c r="N5" s="5"/>
      <c r="O5" s="5">
        <v>1</v>
      </c>
      <c r="P5" s="5">
        <v>618300</v>
      </c>
      <c r="Q5" s="5"/>
      <c r="R5" s="5"/>
      <c r="S5" s="5"/>
      <c r="T5" s="5"/>
      <c r="U5" s="5"/>
      <c r="V5" s="5"/>
    </row>
    <row r="6" spans="1:22" x14ac:dyDescent="0.25">
      <c r="A6" s="325"/>
      <c r="B6" s="64" t="s">
        <v>232</v>
      </c>
      <c r="C6" s="64">
        <v>1</v>
      </c>
      <c r="D6" s="233">
        <v>353719</v>
      </c>
      <c r="E6" s="121"/>
      <c r="F6" s="127"/>
      <c r="G6" s="121"/>
      <c r="H6" s="121"/>
      <c r="I6" s="121"/>
      <c r="J6" s="127"/>
      <c r="K6" s="121"/>
      <c r="L6" s="127"/>
      <c r="M6" s="2"/>
      <c r="N6" s="5"/>
      <c r="O6" s="5"/>
      <c r="P6" s="5"/>
      <c r="Q6" s="5"/>
      <c r="R6" s="5"/>
      <c r="S6" s="5"/>
      <c r="T6" s="5"/>
      <c r="U6" s="5"/>
      <c r="V6" s="5"/>
    </row>
    <row r="7" spans="1:22" x14ac:dyDescent="0.25">
      <c r="A7" s="332" t="s">
        <v>26</v>
      </c>
      <c r="B7" s="64" t="s">
        <v>9</v>
      </c>
      <c r="C7" s="64"/>
      <c r="D7" s="233"/>
      <c r="E7" s="121">
        <v>1</v>
      </c>
      <c r="F7" s="127">
        <v>15421398</v>
      </c>
      <c r="G7" s="121"/>
      <c r="H7" s="121"/>
      <c r="I7" s="121"/>
      <c r="J7" s="127"/>
      <c r="K7" s="121">
        <v>1</v>
      </c>
      <c r="L7" s="127">
        <v>896283</v>
      </c>
      <c r="M7" s="2"/>
      <c r="N7" s="5"/>
      <c r="O7" s="5">
        <v>1</v>
      </c>
      <c r="P7" s="5">
        <v>67367397</v>
      </c>
      <c r="Q7" s="5"/>
      <c r="R7" s="5"/>
      <c r="S7" s="5"/>
      <c r="T7" s="5"/>
      <c r="U7" s="5"/>
      <c r="V7" s="5"/>
    </row>
    <row r="8" spans="1:22" x14ac:dyDescent="0.25">
      <c r="A8" s="332"/>
      <c r="B8" s="64" t="s">
        <v>92</v>
      </c>
      <c r="C8" s="64"/>
      <c r="D8" s="233"/>
      <c r="E8" s="121"/>
      <c r="F8" s="127"/>
      <c r="G8" s="121"/>
      <c r="H8" s="121"/>
      <c r="I8" s="121"/>
      <c r="J8" s="127"/>
      <c r="K8" s="121"/>
      <c r="L8" s="127"/>
      <c r="M8" s="2">
        <v>1</v>
      </c>
      <c r="N8" s="5">
        <v>895481</v>
      </c>
      <c r="O8" s="5"/>
      <c r="P8" s="5"/>
      <c r="Q8" s="5"/>
      <c r="R8" s="5"/>
      <c r="S8" s="5"/>
      <c r="T8" s="5"/>
      <c r="U8" s="5"/>
      <c r="V8" s="5"/>
    </row>
    <row r="9" spans="1:22" x14ac:dyDescent="0.25">
      <c r="A9" s="324" t="s">
        <v>108</v>
      </c>
      <c r="B9" s="64" t="s">
        <v>126</v>
      </c>
      <c r="C9" s="64"/>
      <c r="D9" s="233"/>
      <c r="E9" s="121"/>
      <c r="F9" s="127"/>
      <c r="G9" s="121"/>
      <c r="H9" s="121"/>
      <c r="I9" s="121">
        <v>1</v>
      </c>
      <c r="J9" s="127">
        <v>3844000</v>
      </c>
      <c r="K9" s="121"/>
      <c r="L9" s="127"/>
      <c r="M9" s="2"/>
      <c r="N9" s="5"/>
      <c r="O9" s="5"/>
      <c r="P9" s="5"/>
      <c r="Q9" s="5"/>
      <c r="R9" s="5"/>
      <c r="S9" s="5"/>
      <c r="T9" s="5"/>
      <c r="U9" s="5"/>
      <c r="V9" s="5"/>
    </row>
    <row r="10" spans="1:22" x14ac:dyDescent="0.25">
      <c r="A10" s="333"/>
      <c r="B10" s="64" t="s">
        <v>110</v>
      </c>
      <c r="C10" s="64"/>
      <c r="D10" s="233"/>
      <c r="E10" s="121"/>
      <c r="F10" s="127"/>
      <c r="G10" s="121"/>
      <c r="H10" s="121"/>
      <c r="I10" s="121"/>
      <c r="J10" s="127"/>
      <c r="K10" s="121">
        <v>1</v>
      </c>
      <c r="L10" s="127">
        <v>491000</v>
      </c>
      <c r="M10" s="2"/>
      <c r="N10" s="5"/>
      <c r="O10" s="5"/>
      <c r="P10" s="5"/>
      <c r="Q10" s="5"/>
      <c r="R10" s="5"/>
      <c r="S10" s="5"/>
      <c r="T10" s="5"/>
      <c r="U10" s="5"/>
      <c r="V10" s="5"/>
    </row>
    <row r="11" spans="1:22" x14ac:dyDescent="0.25">
      <c r="A11" s="325"/>
      <c r="B11" s="64" t="s">
        <v>107</v>
      </c>
      <c r="C11" s="64"/>
      <c r="D11" s="233"/>
      <c r="E11" s="121"/>
      <c r="F11" s="127"/>
      <c r="G11" s="121"/>
      <c r="H11" s="121"/>
      <c r="I11" s="121">
        <v>1</v>
      </c>
      <c r="J11" s="127">
        <v>5764500</v>
      </c>
      <c r="K11" s="121">
        <v>1</v>
      </c>
      <c r="L11" s="127">
        <v>440000</v>
      </c>
      <c r="M11" s="2"/>
      <c r="N11" s="5"/>
      <c r="O11" s="5"/>
      <c r="P11" s="5"/>
      <c r="Q11" s="5"/>
      <c r="R11" s="5"/>
      <c r="S11" s="5"/>
      <c r="T11" s="5"/>
      <c r="U11" s="5"/>
      <c r="V11" s="5"/>
    </row>
    <row r="12" spans="1:22" x14ac:dyDescent="0.25">
      <c r="A12" s="337" t="s">
        <v>25</v>
      </c>
      <c r="B12" s="64" t="s">
        <v>25</v>
      </c>
      <c r="C12" s="64">
        <v>1</v>
      </c>
      <c r="D12" s="233">
        <v>446495</v>
      </c>
      <c r="E12" s="121"/>
      <c r="F12" s="127"/>
      <c r="G12" s="121"/>
      <c r="H12" s="121"/>
      <c r="I12" s="121"/>
      <c r="J12" s="127"/>
      <c r="K12" s="121"/>
      <c r="L12" s="127"/>
      <c r="M12" s="2"/>
      <c r="N12" s="5"/>
      <c r="O12" s="5"/>
      <c r="P12" s="5"/>
      <c r="Q12" s="5"/>
      <c r="R12" s="5"/>
      <c r="S12" s="5"/>
      <c r="T12" s="5"/>
      <c r="U12" s="5"/>
      <c r="V12" s="5"/>
    </row>
    <row r="13" spans="1:22" x14ac:dyDescent="0.25">
      <c r="A13" s="338"/>
      <c r="B13" s="64" t="s">
        <v>127</v>
      </c>
      <c r="C13" s="64"/>
      <c r="D13" s="233"/>
      <c r="E13" s="121"/>
      <c r="F13" s="127"/>
      <c r="G13" s="121"/>
      <c r="H13" s="121"/>
      <c r="I13" s="121">
        <v>1</v>
      </c>
      <c r="J13" s="127">
        <v>743800</v>
      </c>
      <c r="K13" s="121"/>
      <c r="L13" s="127"/>
      <c r="M13" s="2"/>
      <c r="N13" s="5"/>
      <c r="O13" s="5"/>
      <c r="P13" s="5"/>
      <c r="Q13" s="5"/>
      <c r="R13" s="5"/>
      <c r="S13" s="5"/>
      <c r="T13" s="5"/>
      <c r="U13" s="5"/>
      <c r="V13" s="5"/>
    </row>
    <row r="14" spans="1:22" x14ac:dyDescent="0.25">
      <c r="A14" s="338"/>
      <c r="B14" s="64" t="s">
        <v>178</v>
      </c>
      <c r="C14" s="64"/>
      <c r="D14" s="233"/>
      <c r="E14" s="121"/>
      <c r="F14" s="127"/>
      <c r="G14" s="121">
        <v>1</v>
      </c>
      <c r="H14" s="127">
        <v>544398</v>
      </c>
      <c r="I14" s="121"/>
      <c r="J14" s="127"/>
      <c r="K14" s="121"/>
      <c r="L14" s="127"/>
      <c r="M14" s="2"/>
      <c r="N14" s="5"/>
      <c r="O14" s="5"/>
      <c r="P14" s="5"/>
      <c r="Q14" s="5"/>
      <c r="R14" s="5"/>
      <c r="S14" s="5"/>
      <c r="T14" s="5"/>
      <c r="U14" s="5"/>
      <c r="V14" s="5"/>
    </row>
    <row r="15" spans="1:22" x14ac:dyDescent="0.25">
      <c r="A15" s="338"/>
      <c r="B15" s="64" t="s">
        <v>111</v>
      </c>
      <c r="C15" s="64">
        <v>2</v>
      </c>
      <c r="D15" s="233">
        <v>1137012</v>
      </c>
      <c r="E15" s="121"/>
      <c r="F15" s="127"/>
      <c r="G15" s="121"/>
      <c r="H15" s="121"/>
      <c r="I15" s="121"/>
      <c r="J15" s="127"/>
      <c r="K15" s="121">
        <v>1</v>
      </c>
      <c r="L15" s="127">
        <v>5525888</v>
      </c>
      <c r="M15" s="2"/>
      <c r="N15" s="5"/>
      <c r="O15" s="5"/>
      <c r="P15" s="5"/>
      <c r="Q15" s="5"/>
      <c r="R15" s="5"/>
      <c r="S15" s="5"/>
      <c r="T15" s="5"/>
      <c r="U15" s="5"/>
      <c r="V15" s="5"/>
    </row>
    <row r="16" spans="1:22" x14ac:dyDescent="0.25">
      <c r="A16" s="338"/>
      <c r="B16" s="64" t="s">
        <v>94</v>
      </c>
      <c r="C16" s="64"/>
      <c r="D16" s="233"/>
      <c r="E16" s="121"/>
      <c r="F16" s="127"/>
      <c r="G16" s="121"/>
      <c r="H16" s="121"/>
      <c r="I16" s="121"/>
      <c r="J16" s="127"/>
      <c r="K16" s="121"/>
      <c r="L16" s="127"/>
      <c r="M16" s="2">
        <v>1</v>
      </c>
      <c r="N16" s="5">
        <v>4884970</v>
      </c>
      <c r="O16" s="5"/>
      <c r="P16" s="5"/>
      <c r="Q16" s="5"/>
      <c r="R16" s="5"/>
      <c r="S16" s="5"/>
      <c r="T16" s="5"/>
      <c r="U16" s="5"/>
      <c r="V16" s="5"/>
    </row>
    <row r="17" spans="1:24" x14ac:dyDescent="0.25">
      <c r="A17" s="338"/>
      <c r="B17" s="64" t="s">
        <v>115</v>
      </c>
      <c r="C17" s="64"/>
      <c r="D17" s="233"/>
      <c r="E17" s="121"/>
      <c r="F17" s="127"/>
      <c r="G17" s="121"/>
      <c r="H17" s="121"/>
      <c r="I17" s="121"/>
      <c r="J17" s="127"/>
      <c r="K17" s="121">
        <f>1+1</f>
        <v>2</v>
      </c>
      <c r="L17" s="127">
        <f>418000+1305982</f>
        <v>1723982</v>
      </c>
      <c r="M17" s="2"/>
      <c r="N17" s="5"/>
      <c r="O17" s="5"/>
      <c r="P17" s="5"/>
      <c r="Q17" s="5"/>
      <c r="R17" s="5"/>
      <c r="S17" s="2"/>
      <c r="T17" s="2"/>
      <c r="U17" s="5"/>
      <c r="V17" s="5"/>
    </row>
    <row r="18" spans="1:24" x14ac:dyDescent="0.25">
      <c r="A18" s="338"/>
      <c r="B18" s="64" t="s">
        <v>181</v>
      </c>
      <c r="C18" s="64"/>
      <c r="D18" s="233"/>
      <c r="E18" s="121">
        <v>1</v>
      </c>
      <c r="F18" s="127">
        <v>2318181</v>
      </c>
      <c r="G18" s="121">
        <v>1</v>
      </c>
      <c r="H18" s="127">
        <v>1605595</v>
      </c>
      <c r="I18" s="121"/>
      <c r="J18" s="127"/>
      <c r="K18" s="121"/>
      <c r="L18" s="127"/>
      <c r="M18" s="2"/>
      <c r="N18" s="5"/>
      <c r="O18" s="5"/>
      <c r="P18" s="5"/>
      <c r="Q18" s="5"/>
      <c r="R18" s="5"/>
      <c r="S18" s="2"/>
      <c r="T18" s="2"/>
      <c r="U18" s="5"/>
      <c r="V18" s="5"/>
    </row>
    <row r="19" spans="1:24" x14ac:dyDescent="0.25">
      <c r="A19" s="338"/>
      <c r="B19" s="64" t="s">
        <v>60</v>
      </c>
      <c r="C19" s="64"/>
      <c r="D19" s="233"/>
      <c r="E19" s="121"/>
      <c r="F19" s="127"/>
      <c r="G19" s="121"/>
      <c r="H19" s="121"/>
      <c r="I19" s="121"/>
      <c r="J19" s="127"/>
      <c r="K19" s="121">
        <v>1</v>
      </c>
      <c r="L19" s="127">
        <v>885950</v>
      </c>
      <c r="M19" s="2"/>
      <c r="N19" s="5"/>
      <c r="O19" s="5"/>
      <c r="P19" s="5"/>
      <c r="Q19" s="5">
        <v>1</v>
      </c>
      <c r="R19" s="5">
        <v>1808322</v>
      </c>
      <c r="S19" s="2"/>
      <c r="T19" s="2"/>
      <c r="U19" s="5"/>
      <c r="V19" s="5"/>
    </row>
    <row r="20" spans="1:24" x14ac:dyDescent="0.25">
      <c r="A20" s="338"/>
      <c r="B20" s="64" t="s">
        <v>113</v>
      </c>
      <c r="C20" s="64">
        <v>1</v>
      </c>
      <c r="D20" s="233">
        <v>568000</v>
      </c>
      <c r="E20" s="121"/>
      <c r="F20" s="127"/>
      <c r="G20" s="121"/>
      <c r="H20" s="121"/>
      <c r="I20" s="121"/>
      <c r="J20" s="127"/>
      <c r="K20" s="121">
        <v>1</v>
      </c>
      <c r="L20" s="127">
        <v>1236436</v>
      </c>
      <c r="M20" s="2"/>
      <c r="N20" s="5"/>
      <c r="O20" s="5"/>
      <c r="P20" s="5"/>
      <c r="Q20" s="5"/>
      <c r="R20" s="5"/>
      <c r="S20" s="2"/>
      <c r="T20" s="2"/>
      <c r="U20" s="5"/>
      <c r="V20" s="5"/>
    </row>
    <row r="21" spans="1:24" x14ac:dyDescent="0.25">
      <c r="A21" s="338"/>
      <c r="B21" s="64" t="s">
        <v>214</v>
      </c>
      <c r="C21" s="64"/>
      <c r="D21" s="233"/>
      <c r="E21" s="121">
        <v>1</v>
      </c>
      <c r="F21" s="127">
        <v>1381800</v>
      </c>
      <c r="G21" s="121"/>
      <c r="H21" s="121"/>
      <c r="I21" s="121"/>
      <c r="J21" s="127"/>
      <c r="K21" s="121"/>
      <c r="L21" s="127"/>
      <c r="M21" s="2"/>
      <c r="N21" s="5"/>
      <c r="O21" s="5"/>
      <c r="P21" s="5"/>
      <c r="Q21" s="5"/>
      <c r="R21" s="5"/>
      <c r="S21" s="2"/>
      <c r="T21" s="2"/>
      <c r="U21" s="5"/>
      <c r="V21" s="5"/>
    </row>
    <row r="22" spans="1:24" x14ac:dyDescent="0.25">
      <c r="A22" s="338"/>
      <c r="B22" s="64" t="s">
        <v>128</v>
      </c>
      <c r="C22" s="64">
        <v>1</v>
      </c>
      <c r="D22" s="233">
        <v>743351</v>
      </c>
      <c r="E22" s="121"/>
      <c r="F22" s="127"/>
      <c r="G22" s="121"/>
      <c r="H22" s="121"/>
      <c r="I22" s="121">
        <v>1</v>
      </c>
      <c r="J22" s="127">
        <v>13335609</v>
      </c>
      <c r="K22" s="121"/>
      <c r="L22" s="127"/>
      <c r="M22" s="2"/>
      <c r="N22" s="5"/>
      <c r="O22" s="5"/>
      <c r="P22" s="5"/>
      <c r="Q22" s="5"/>
      <c r="R22" s="5"/>
      <c r="S22" s="2"/>
      <c r="T22" s="2"/>
      <c r="U22" s="5"/>
      <c r="V22" s="5"/>
    </row>
    <row r="23" spans="1:24" x14ac:dyDescent="0.25">
      <c r="A23" s="338"/>
      <c r="B23" s="64" t="s">
        <v>109</v>
      </c>
      <c r="C23" s="64"/>
      <c r="D23" s="233"/>
      <c r="E23" s="121"/>
      <c r="F23" s="127"/>
      <c r="G23" s="121"/>
      <c r="H23" s="121"/>
      <c r="I23" s="121"/>
      <c r="J23" s="127"/>
      <c r="K23" s="121">
        <v>1</v>
      </c>
      <c r="L23" s="127">
        <v>1099174</v>
      </c>
      <c r="M23" s="2"/>
      <c r="N23" s="5"/>
      <c r="O23" s="5"/>
      <c r="P23" s="5"/>
      <c r="Q23" s="5"/>
      <c r="R23" s="5"/>
      <c r="S23" s="5"/>
      <c r="T23" s="5"/>
      <c r="U23" s="5"/>
      <c r="V23" s="5"/>
    </row>
    <row r="24" spans="1:24" x14ac:dyDescent="0.25">
      <c r="A24" s="338"/>
      <c r="B24" s="64" t="s">
        <v>16</v>
      </c>
      <c r="C24" s="64"/>
      <c r="D24" s="233"/>
      <c r="E24" s="121"/>
      <c r="F24" s="127"/>
      <c r="G24" s="121"/>
      <c r="H24" s="121"/>
      <c r="I24" s="121"/>
      <c r="J24" s="127"/>
      <c r="K24" s="121"/>
      <c r="L24" s="127"/>
      <c r="M24" s="2"/>
      <c r="N24" s="5"/>
      <c r="O24" s="5">
        <v>1</v>
      </c>
      <c r="P24" s="5">
        <v>815424</v>
      </c>
      <c r="Q24" s="5"/>
      <c r="R24" s="5"/>
      <c r="S24" s="5"/>
      <c r="T24" s="5"/>
      <c r="U24" s="5"/>
      <c r="V24" s="5"/>
      <c r="X24" s="68"/>
    </row>
    <row r="25" spans="1:24" x14ac:dyDescent="0.25">
      <c r="A25" s="338"/>
      <c r="B25" s="64" t="s">
        <v>129</v>
      </c>
      <c r="C25" s="64"/>
      <c r="D25" s="233"/>
      <c r="E25" s="121"/>
      <c r="F25" s="127"/>
      <c r="G25" s="121"/>
      <c r="H25" s="121"/>
      <c r="I25" s="121">
        <v>1</v>
      </c>
      <c r="J25" s="127">
        <v>1321289</v>
      </c>
      <c r="K25" s="121"/>
      <c r="L25" s="127"/>
      <c r="M25" s="2"/>
      <c r="N25" s="5"/>
      <c r="O25" s="5"/>
      <c r="P25" s="5"/>
      <c r="Q25" s="5"/>
      <c r="R25" s="5"/>
      <c r="S25" s="5"/>
      <c r="T25" s="5"/>
      <c r="U25" s="5"/>
      <c r="V25" s="5"/>
    </row>
    <row r="26" spans="1:24" x14ac:dyDescent="0.25">
      <c r="A26" s="338"/>
      <c r="B26" s="64" t="s">
        <v>130</v>
      </c>
      <c r="C26" s="64"/>
      <c r="D26" s="233"/>
      <c r="E26" s="121"/>
      <c r="F26" s="127"/>
      <c r="G26" s="121">
        <v>1</v>
      </c>
      <c r="H26" s="127">
        <v>1768595</v>
      </c>
      <c r="I26" s="121">
        <v>1</v>
      </c>
      <c r="J26" s="127">
        <v>450000</v>
      </c>
      <c r="K26" s="121"/>
      <c r="L26" s="127"/>
      <c r="M26" s="2"/>
      <c r="N26" s="5"/>
      <c r="O26" s="5"/>
      <c r="P26" s="5"/>
      <c r="Q26" s="5"/>
      <c r="R26" s="5"/>
      <c r="S26" s="5"/>
      <c r="T26" s="5"/>
      <c r="U26" s="5"/>
      <c r="V26" s="5"/>
    </row>
    <row r="27" spans="1:24" x14ac:dyDescent="0.25">
      <c r="A27" s="338"/>
      <c r="B27" s="64" t="s">
        <v>89</v>
      </c>
      <c r="C27" s="64">
        <v>1</v>
      </c>
      <c r="D27" s="233">
        <v>1792690</v>
      </c>
      <c r="E27" s="121"/>
      <c r="F27" s="127"/>
      <c r="G27" s="121">
        <v>1</v>
      </c>
      <c r="H27" s="127">
        <v>1673553</v>
      </c>
      <c r="I27" s="121"/>
      <c r="J27" s="127"/>
      <c r="K27" s="121"/>
      <c r="L27" s="127"/>
      <c r="M27" s="2">
        <v>1</v>
      </c>
      <c r="N27" s="5">
        <v>481768</v>
      </c>
      <c r="O27" s="5"/>
      <c r="P27" s="5"/>
      <c r="Q27" s="5"/>
      <c r="R27" s="5"/>
      <c r="S27" s="5"/>
      <c r="T27" s="5"/>
      <c r="U27" s="5"/>
      <c r="V27" s="5"/>
    </row>
    <row r="28" spans="1:24" x14ac:dyDescent="0.25">
      <c r="A28" s="338"/>
      <c r="B28" s="64" t="s">
        <v>88</v>
      </c>
      <c r="C28" s="64"/>
      <c r="D28" s="233"/>
      <c r="E28" s="121"/>
      <c r="F28" s="127"/>
      <c r="G28" s="121"/>
      <c r="H28" s="121"/>
      <c r="I28" s="121"/>
      <c r="J28" s="127"/>
      <c r="K28" s="121">
        <v>1</v>
      </c>
      <c r="L28" s="127">
        <v>159983</v>
      </c>
      <c r="M28" s="2">
        <v>1</v>
      </c>
      <c r="N28" s="5">
        <v>158665</v>
      </c>
      <c r="O28" s="5"/>
      <c r="P28" s="5"/>
      <c r="Q28" s="5"/>
      <c r="R28" s="5"/>
      <c r="S28" s="5"/>
      <c r="T28" s="5"/>
      <c r="U28" s="5"/>
      <c r="V28" s="5"/>
    </row>
    <row r="29" spans="1:24" x14ac:dyDescent="0.25">
      <c r="A29" s="338"/>
      <c r="B29" s="64" t="s">
        <v>61</v>
      </c>
      <c r="C29" s="64"/>
      <c r="D29" s="233"/>
      <c r="E29" s="121"/>
      <c r="F29" s="127"/>
      <c r="G29" s="121"/>
      <c r="H29" s="121"/>
      <c r="I29" s="121"/>
      <c r="J29" s="127"/>
      <c r="K29" s="121"/>
      <c r="L29" s="127"/>
      <c r="M29" s="2"/>
      <c r="N29" s="2"/>
      <c r="O29" s="2"/>
      <c r="P29" s="2"/>
      <c r="Q29" s="2"/>
      <c r="R29" s="2"/>
      <c r="S29" s="5">
        <v>1</v>
      </c>
      <c r="T29" s="5">
        <v>865374</v>
      </c>
      <c r="U29" s="5"/>
      <c r="V29" s="5"/>
      <c r="X29" s="68"/>
    </row>
    <row r="30" spans="1:24" x14ac:dyDescent="0.25">
      <c r="A30" s="338"/>
      <c r="B30" s="64" t="s">
        <v>17</v>
      </c>
      <c r="C30" s="64"/>
      <c r="D30" s="233"/>
      <c r="E30" s="121"/>
      <c r="F30" s="127"/>
      <c r="G30" s="121"/>
      <c r="H30" s="121"/>
      <c r="I30" s="121"/>
      <c r="J30" s="127"/>
      <c r="K30" s="121"/>
      <c r="L30" s="127"/>
      <c r="M30" s="2"/>
      <c r="N30" s="5"/>
      <c r="O30" s="5">
        <v>1</v>
      </c>
      <c r="P30" s="5">
        <v>3181818</v>
      </c>
      <c r="Q30" s="5"/>
      <c r="R30" s="5"/>
      <c r="S30" s="5"/>
      <c r="T30" s="5"/>
      <c r="U30" s="5"/>
      <c r="V30" s="5"/>
    </row>
    <row r="31" spans="1:24" x14ac:dyDescent="0.25">
      <c r="A31" s="338"/>
      <c r="B31" s="64" t="s">
        <v>15</v>
      </c>
      <c r="C31" s="64"/>
      <c r="D31" s="233"/>
      <c r="E31" s="121"/>
      <c r="F31" s="127"/>
      <c r="G31" s="121"/>
      <c r="H31" s="121"/>
      <c r="I31" s="121"/>
      <c r="J31" s="127"/>
      <c r="K31" s="121"/>
      <c r="L31" s="127"/>
      <c r="M31" s="2"/>
      <c r="N31" s="5"/>
      <c r="O31" s="5">
        <v>1</v>
      </c>
      <c r="P31" s="5">
        <v>928750</v>
      </c>
      <c r="Q31" s="5"/>
      <c r="R31" s="5"/>
      <c r="S31" s="5"/>
      <c r="T31" s="5"/>
      <c r="U31" s="5"/>
      <c r="V31" s="5"/>
    </row>
    <row r="32" spans="1:24" x14ac:dyDescent="0.25">
      <c r="A32" s="338"/>
      <c r="B32" s="64" t="s">
        <v>10</v>
      </c>
      <c r="C32" s="64"/>
      <c r="D32" s="233"/>
      <c r="E32" s="121"/>
      <c r="F32" s="127"/>
      <c r="G32" s="121"/>
      <c r="H32" s="121"/>
      <c r="I32" s="121"/>
      <c r="J32" s="127"/>
      <c r="K32" s="121"/>
      <c r="L32" s="127"/>
      <c r="M32" s="2"/>
      <c r="N32" s="5"/>
      <c r="O32" s="5">
        <v>1</v>
      </c>
      <c r="P32" s="5">
        <v>6795200</v>
      </c>
      <c r="Q32" s="5"/>
      <c r="R32" s="5"/>
      <c r="S32" s="5"/>
      <c r="T32" s="5"/>
      <c r="U32" s="5"/>
      <c r="V32" s="5"/>
    </row>
    <row r="33" spans="1:22" x14ac:dyDescent="0.25">
      <c r="A33" s="338"/>
      <c r="B33" s="64" t="s">
        <v>179</v>
      </c>
      <c r="C33" s="64"/>
      <c r="D33" s="233"/>
      <c r="E33" s="121">
        <v>1</v>
      </c>
      <c r="F33" s="127">
        <v>23969624</v>
      </c>
      <c r="G33" s="121">
        <v>1</v>
      </c>
      <c r="H33" s="127">
        <v>11870013</v>
      </c>
      <c r="I33" s="121"/>
      <c r="J33" s="127"/>
      <c r="K33" s="121"/>
      <c r="L33" s="127"/>
      <c r="M33" s="2"/>
      <c r="N33" s="5"/>
      <c r="O33" s="5"/>
      <c r="P33" s="5"/>
      <c r="Q33" s="5"/>
      <c r="R33" s="5"/>
      <c r="S33" s="5"/>
      <c r="T33" s="5"/>
      <c r="U33" s="5"/>
      <c r="V33" s="5"/>
    </row>
    <row r="34" spans="1:22" x14ac:dyDescent="0.25">
      <c r="A34" s="338"/>
      <c r="B34" s="64" t="s">
        <v>59</v>
      </c>
      <c r="C34" s="64"/>
      <c r="D34" s="233"/>
      <c r="E34" s="121"/>
      <c r="F34" s="127"/>
      <c r="G34" s="121"/>
      <c r="H34" s="121"/>
      <c r="I34" s="121"/>
      <c r="J34" s="127"/>
      <c r="K34" s="121"/>
      <c r="L34" s="127"/>
      <c r="M34" s="2"/>
      <c r="N34" s="5"/>
      <c r="O34" s="5"/>
      <c r="P34" s="5"/>
      <c r="Q34" s="5">
        <v>1</v>
      </c>
      <c r="R34" s="5">
        <v>1107895</v>
      </c>
      <c r="S34" s="5"/>
      <c r="T34" s="5"/>
      <c r="U34" s="5"/>
      <c r="V34" s="5"/>
    </row>
    <row r="35" spans="1:22" x14ac:dyDescent="0.25">
      <c r="A35" s="338"/>
      <c r="B35" s="64" t="s">
        <v>212</v>
      </c>
      <c r="C35" s="64">
        <v>1</v>
      </c>
      <c r="D35" s="233">
        <v>2982381</v>
      </c>
      <c r="E35" s="121">
        <f>1+1</f>
        <v>2</v>
      </c>
      <c r="F35" s="127">
        <f>590000+2469540+512841</f>
        <v>3572381</v>
      </c>
      <c r="G35" s="121"/>
      <c r="H35" s="121"/>
      <c r="I35" s="121"/>
      <c r="J35" s="127"/>
      <c r="K35" s="121"/>
      <c r="L35" s="127"/>
      <c r="M35" s="2"/>
      <c r="N35" s="5"/>
      <c r="O35" s="5"/>
      <c r="P35" s="5"/>
      <c r="Q35" s="115"/>
      <c r="R35" s="115"/>
      <c r="S35" s="115"/>
      <c r="T35" s="115"/>
      <c r="U35" s="115"/>
      <c r="V35" s="115"/>
    </row>
    <row r="36" spans="1:22" x14ac:dyDescent="0.25">
      <c r="A36" s="338"/>
      <c r="B36" s="64" t="s">
        <v>112</v>
      </c>
      <c r="C36" s="64"/>
      <c r="D36" s="233"/>
      <c r="E36" s="121"/>
      <c r="F36" s="127"/>
      <c r="G36" s="121"/>
      <c r="H36" s="121"/>
      <c r="I36" s="121"/>
      <c r="J36" s="127"/>
      <c r="K36" s="121">
        <v>1</v>
      </c>
      <c r="L36" s="127">
        <v>1398573</v>
      </c>
      <c r="M36" s="2"/>
      <c r="N36" s="5"/>
      <c r="O36" s="5"/>
      <c r="P36" s="5"/>
      <c r="Q36" s="115"/>
      <c r="R36" s="115"/>
      <c r="S36" s="115"/>
      <c r="T36" s="115"/>
      <c r="U36" s="115"/>
      <c r="V36" s="115"/>
    </row>
    <row r="37" spans="1:22" x14ac:dyDescent="0.25">
      <c r="A37" s="338"/>
      <c r="B37" s="64" t="s">
        <v>234</v>
      </c>
      <c r="C37" s="64">
        <v>2</v>
      </c>
      <c r="D37" s="233">
        <v>7786769</v>
      </c>
      <c r="E37" s="121"/>
      <c r="F37" s="127"/>
      <c r="G37" s="121"/>
      <c r="H37" s="121"/>
      <c r="I37" s="121"/>
      <c r="J37" s="127"/>
      <c r="K37" s="121"/>
      <c r="L37" s="127"/>
      <c r="M37" s="2"/>
      <c r="N37" s="5"/>
      <c r="O37" s="5"/>
      <c r="P37" s="5"/>
      <c r="Q37" s="115"/>
      <c r="R37" s="115"/>
      <c r="S37" s="115"/>
      <c r="T37" s="115"/>
      <c r="U37" s="115"/>
      <c r="V37" s="115"/>
    </row>
    <row r="38" spans="1:22" x14ac:dyDescent="0.25">
      <c r="A38" s="338"/>
      <c r="B38" s="64" t="s">
        <v>116</v>
      </c>
      <c r="C38" s="64"/>
      <c r="D38" s="233"/>
      <c r="E38" s="121"/>
      <c r="F38" s="127"/>
      <c r="G38" s="121"/>
      <c r="H38" s="121"/>
      <c r="I38" s="121"/>
      <c r="J38" s="127"/>
      <c r="K38" s="121">
        <v>1</v>
      </c>
      <c r="L38" s="127">
        <v>484928</v>
      </c>
      <c r="M38" s="2"/>
      <c r="N38" s="5"/>
      <c r="O38" s="5"/>
      <c r="P38" s="5"/>
      <c r="Q38" s="115"/>
      <c r="R38" s="115"/>
      <c r="S38" s="115"/>
      <c r="T38" s="115"/>
      <c r="U38" s="115"/>
      <c r="V38" s="115"/>
    </row>
    <row r="39" spans="1:22" x14ac:dyDescent="0.25">
      <c r="A39" s="338"/>
      <c r="B39" s="64" t="s">
        <v>233</v>
      </c>
      <c r="C39" s="64">
        <v>1</v>
      </c>
      <c r="D39" s="233">
        <v>74380</v>
      </c>
      <c r="E39" s="121"/>
      <c r="F39" s="127"/>
      <c r="G39" s="121"/>
      <c r="H39" s="121"/>
      <c r="I39" s="121"/>
      <c r="J39" s="127"/>
      <c r="K39" s="121"/>
      <c r="L39" s="127"/>
      <c r="M39" s="2"/>
      <c r="N39" s="5"/>
      <c r="O39" s="5"/>
      <c r="P39" s="5"/>
      <c r="Q39" s="115"/>
      <c r="R39" s="115"/>
      <c r="S39" s="115"/>
      <c r="T39" s="115"/>
      <c r="U39" s="115"/>
      <c r="V39" s="115"/>
    </row>
    <row r="40" spans="1:22" x14ac:dyDescent="0.25">
      <c r="A40" s="339"/>
      <c r="B40" s="64" t="s">
        <v>106</v>
      </c>
      <c r="C40" s="64"/>
      <c r="D40" s="233"/>
      <c r="E40" s="121"/>
      <c r="F40" s="127"/>
      <c r="G40" s="121"/>
      <c r="H40" s="121"/>
      <c r="I40" s="121"/>
      <c r="J40" s="127"/>
      <c r="K40" s="121">
        <v>1</v>
      </c>
      <c r="L40" s="127">
        <v>418000</v>
      </c>
      <c r="M40" s="2"/>
      <c r="N40" s="5"/>
      <c r="O40" s="5"/>
      <c r="P40" s="5"/>
      <c r="Q40" s="115"/>
      <c r="R40" s="115"/>
      <c r="S40" s="115"/>
      <c r="T40" s="115"/>
      <c r="U40" s="115"/>
      <c r="V40" s="115"/>
    </row>
    <row r="41" spans="1:22" x14ac:dyDescent="0.25">
      <c r="A41" s="337" t="s">
        <v>96</v>
      </c>
      <c r="B41" s="64" t="s">
        <v>114</v>
      </c>
      <c r="C41" s="64"/>
      <c r="D41" s="233"/>
      <c r="E41" s="121"/>
      <c r="F41" s="127"/>
      <c r="G41" s="121"/>
      <c r="H41" s="121"/>
      <c r="I41" s="121"/>
      <c r="J41" s="127"/>
      <c r="K41" s="121">
        <v>1</v>
      </c>
      <c r="L41" s="127">
        <v>6189374</v>
      </c>
      <c r="M41" s="2"/>
      <c r="N41" s="5"/>
      <c r="O41" s="5"/>
      <c r="P41" s="5"/>
      <c r="Q41" s="115"/>
      <c r="R41" s="115"/>
      <c r="S41" s="115"/>
      <c r="T41" s="115"/>
      <c r="U41" s="115"/>
      <c r="V41" s="115"/>
    </row>
    <row r="42" spans="1:22" x14ac:dyDescent="0.25">
      <c r="A42" s="338"/>
      <c r="B42" s="64" t="s">
        <v>91</v>
      </c>
      <c r="C42" s="64">
        <v>1</v>
      </c>
      <c r="D42" s="233">
        <v>428000</v>
      </c>
      <c r="E42" s="121"/>
      <c r="F42" s="127"/>
      <c r="G42" s="121"/>
      <c r="H42" s="121"/>
      <c r="I42" s="121"/>
      <c r="J42" s="127"/>
      <c r="K42" s="121"/>
      <c r="L42" s="127"/>
      <c r="M42" s="2">
        <v>1</v>
      </c>
      <c r="N42" s="5">
        <v>1192890</v>
      </c>
      <c r="O42" s="5"/>
      <c r="P42" s="5"/>
      <c r="Q42" s="115"/>
      <c r="R42" s="115"/>
      <c r="S42" s="115"/>
      <c r="T42" s="115"/>
      <c r="U42" s="115"/>
      <c r="V42" s="115"/>
    </row>
    <row r="43" spans="1:22" x14ac:dyDescent="0.25">
      <c r="A43" s="339"/>
      <c r="B43" s="64" t="s">
        <v>213</v>
      </c>
      <c r="C43" s="64"/>
      <c r="D43" s="233"/>
      <c r="E43" s="121">
        <v>1</v>
      </c>
      <c r="F43" s="127">
        <v>19620346</v>
      </c>
      <c r="G43" s="121"/>
      <c r="H43" s="121"/>
      <c r="I43" s="121"/>
      <c r="J43" s="127"/>
      <c r="K43" s="121"/>
      <c r="L43" s="127"/>
      <c r="M43" s="2"/>
      <c r="N43" s="5"/>
      <c r="O43" s="5"/>
      <c r="P43" s="5"/>
      <c r="Q43" s="115"/>
      <c r="R43" s="115"/>
      <c r="S43" s="115"/>
      <c r="T43" s="115"/>
      <c r="U43" s="115"/>
      <c r="V43" s="115"/>
    </row>
    <row r="44" spans="1:22" x14ac:dyDescent="0.25">
      <c r="A44" s="123" t="s">
        <v>105</v>
      </c>
      <c r="B44" s="64" t="s">
        <v>105</v>
      </c>
      <c r="C44" s="64"/>
      <c r="D44" s="233"/>
      <c r="E44" s="121"/>
      <c r="F44" s="127"/>
      <c r="G44" s="121"/>
      <c r="H44" s="121"/>
      <c r="I44" s="121"/>
      <c r="J44" s="127"/>
      <c r="K44" s="121">
        <v>1</v>
      </c>
      <c r="L44" s="127">
        <v>555184</v>
      </c>
      <c r="M44" s="2"/>
      <c r="N44" s="5"/>
      <c r="O44" s="5"/>
      <c r="P44" s="5"/>
      <c r="Q44" s="115"/>
      <c r="R44" s="115"/>
      <c r="S44" s="115"/>
      <c r="T44" s="115"/>
      <c r="U44" s="115"/>
      <c r="V44" s="115"/>
    </row>
    <row r="45" spans="1:22" x14ac:dyDescent="0.25">
      <c r="A45" s="324" t="s">
        <v>24</v>
      </c>
      <c r="B45" s="64" t="s">
        <v>211</v>
      </c>
      <c r="C45" s="64"/>
      <c r="D45" s="233"/>
      <c r="E45" s="121">
        <v>1</v>
      </c>
      <c r="F45" s="127">
        <v>2039240</v>
      </c>
      <c r="G45" s="121"/>
      <c r="H45" s="121"/>
      <c r="I45" s="121"/>
      <c r="J45" s="127"/>
      <c r="K45" s="121"/>
      <c r="L45" s="127"/>
      <c r="M45" s="2"/>
      <c r="N45" s="5"/>
      <c r="O45" s="5"/>
      <c r="P45" s="5"/>
      <c r="Q45" s="115"/>
      <c r="R45" s="115"/>
      <c r="S45" s="115"/>
      <c r="T45" s="115"/>
      <c r="U45" s="115"/>
      <c r="V45" s="115"/>
    </row>
    <row r="46" spans="1:22" x14ac:dyDescent="0.25">
      <c r="A46" s="325"/>
      <c r="B46" s="64" t="s">
        <v>18</v>
      </c>
      <c r="C46" s="64"/>
      <c r="D46" s="233"/>
      <c r="E46" s="121"/>
      <c r="F46" s="127"/>
      <c r="G46" s="121"/>
      <c r="H46" s="121"/>
      <c r="I46" s="121"/>
      <c r="J46" s="127"/>
      <c r="K46" s="121"/>
      <c r="L46" s="127"/>
      <c r="M46" s="2"/>
      <c r="N46" s="5"/>
      <c r="O46" s="5">
        <v>1</v>
      </c>
      <c r="P46" s="5">
        <v>440571</v>
      </c>
      <c r="Q46" s="115"/>
      <c r="R46" s="115"/>
      <c r="S46" s="115"/>
      <c r="T46" s="115"/>
      <c r="U46" s="115"/>
      <c r="V46" s="115"/>
    </row>
    <row r="47" spans="1:22" x14ac:dyDescent="0.25">
      <c r="A47" s="324" t="s">
        <v>95</v>
      </c>
      <c r="B47" s="135" t="s">
        <v>180</v>
      </c>
      <c r="C47" s="135"/>
      <c r="D47" s="234"/>
      <c r="E47" s="136"/>
      <c r="F47" s="137"/>
      <c r="G47" s="136">
        <v>1</v>
      </c>
      <c r="H47" s="127">
        <v>5697997</v>
      </c>
      <c r="I47" s="136"/>
      <c r="J47" s="137"/>
      <c r="K47" s="136"/>
      <c r="L47" s="137"/>
      <c r="M47" s="132"/>
      <c r="N47" s="115"/>
      <c r="O47" s="115"/>
      <c r="P47" s="115"/>
      <c r="Q47" s="115"/>
      <c r="R47" s="115"/>
      <c r="S47" s="115"/>
      <c r="T47" s="115"/>
      <c r="U47" s="115"/>
      <c r="V47" s="115"/>
    </row>
    <row r="48" spans="1:22" x14ac:dyDescent="0.25">
      <c r="A48" s="325"/>
      <c r="B48" s="135" t="s">
        <v>90</v>
      </c>
      <c r="C48" s="135"/>
      <c r="D48" s="234"/>
      <c r="E48" s="136"/>
      <c r="F48" s="137"/>
      <c r="G48" s="136"/>
      <c r="H48" s="136"/>
      <c r="I48" s="136"/>
      <c r="J48" s="137"/>
      <c r="K48" s="136"/>
      <c r="L48" s="137"/>
      <c r="M48" s="132">
        <v>1</v>
      </c>
      <c r="N48" s="132">
        <v>2366000</v>
      </c>
      <c r="O48" s="132"/>
      <c r="P48" s="132"/>
      <c r="Q48" s="115"/>
      <c r="R48" s="115"/>
      <c r="S48" s="115"/>
      <c r="T48" s="115"/>
      <c r="U48" s="115"/>
      <c r="V48" s="115"/>
    </row>
    <row r="49" spans="1:22" x14ac:dyDescent="0.25">
      <c r="A49" s="2" t="s">
        <v>125</v>
      </c>
      <c r="B49" s="138" t="s">
        <v>125</v>
      </c>
      <c r="C49" s="138">
        <v>1</v>
      </c>
      <c r="D49" s="235">
        <v>6791716</v>
      </c>
      <c r="E49" s="121"/>
      <c r="F49" s="127"/>
      <c r="G49" s="121">
        <v>1</v>
      </c>
      <c r="H49" s="127">
        <v>5849839</v>
      </c>
      <c r="I49" s="121">
        <v>1</v>
      </c>
      <c r="J49" s="127">
        <v>12650000</v>
      </c>
      <c r="K49" s="121"/>
      <c r="L49" s="127"/>
      <c r="M49" s="2"/>
      <c r="N49" s="2"/>
      <c r="O49" s="2"/>
      <c r="P49" s="2"/>
      <c r="Q49" s="5"/>
      <c r="R49" s="5"/>
      <c r="S49" s="5"/>
      <c r="T49" s="5"/>
      <c r="U49" s="5"/>
      <c r="V49" s="5"/>
    </row>
    <row r="50" spans="1:22" x14ac:dyDescent="0.25">
      <c r="A50" s="324" t="s">
        <v>23</v>
      </c>
      <c r="B50" s="65" t="s">
        <v>23</v>
      </c>
      <c r="C50" s="65"/>
      <c r="D50" s="236"/>
      <c r="E50" s="121">
        <v>1</v>
      </c>
      <c r="F50" s="127">
        <v>491333</v>
      </c>
      <c r="G50" s="2"/>
      <c r="H50" s="2"/>
      <c r="I50" s="121"/>
      <c r="J50" s="127"/>
      <c r="K50" s="121"/>
      <c r="L50" s="127"/>
      <c r="M50" s="2"/>
      <c r="N50" s="2"/>
      <c r="O50" s="2"/>
      <c r="P50" s="2"/>
      <c r="Q50" s="5"/>
      <c r="R50" s="5"/>
      <c r="S50" s="5"/>
      <c r="T50" s="5"/>
      <c r="U50" s="5"/>
      <c r="V50" s="5"/>
    </row>
    <row r="51" spans="1:22" x14ac:dyDescent="0.25">
      <c r="A51" s="333"/>
      <c r="B51" s="65" t="s">
        <v>183</v>
      </c>
      <c r="C51" s="65"/>
      <c r="D51" s="236"/>
      <c r="E51" s="121"/>
      <c r="F51" s="127"/>
      <c r="G51" s="121">
        <v>1</v>
      </c>
      <c r="H51" s="127">
        <v>443000</v>
      </c>
      <c r="I51" s="121"/>
      <c r="J51" s="127"/>
      <c r="K51" s="121"/>
      <c r="L51" s="127"/>
      <c r="M51" s="2"/>
      <c r="N51" s="2"/>
      <c r="O51" s="2"/>
      <c r="P51" s="2"/>
      <c r="Q51" s="5"/>
      <c r="R51" s="5"/>
      <c r="S51" s="5"/>
      <c r="T51" s="5"/>
      <c r="U51" s="5"/>
      <c r="V51" s="5"/>
    </row>
    <row r="52" spans="1:22" x14ac:dyDescent="0.25">
      <c r="A52" s="333"/>
      <c r="B52" s="65" t="s">
        <v>12</v>
      </c>
      <c r="C52" s="65"/>
      <c r="D52" s="236"/>
      <c r="E52" s="121"/>
      <c r="F52" s="127"/>
      <c r="G52" s="121"/>
      <c r="H52" s="121"/>
      <c r="I52" s="121"/>
      <c r="J52" s="127"/>
      <c r="K52" s="121">
        <v>1</v>
      </c>
      <c r="L52" s="127">
        <v>1751160</v>
      </c>
      <c r="M52" s="2">
        <v>1</v>
      </c>
      <c r="N52" s="5">
        <v>280999</v>
      </c>
      <c r="O52" s="5">
        <v>1</v>
      </c>
      <c r="P52" s="5">
        <v>1427019</v>
      </c>
      <c r="Q52" s="5">
        <v>1</v>
      </c>
      <c r="R52" s="5">
        <v>2078804</v>
      </c>
      <c r="S52" s="5"/>
      <c r="T52" s="5"/>
      <c r="U52" s="5"/>
      <c r="V52" s="5"/>
    </row>
    <row r="53" spans="1:22" x14ac:dyDescent="0.25">
      <c r="A53" s="333"/>
      <c r="B53" s="65" t="s">
        <v>93</v>
      </c>
      <c r="C53" s="65"/>
      <c r="D53" s="236"/>
      <c r="E53" s="121">
        <v>1</v>
      </c>
      <c r="F53" s="127">
        <v>1078512</v>
      </c>
      <c r="G53" s="121"/>
      <c r="H53" s="121"/>
      <c r="I53" s="121"/>
      <c r="J53" s="127"/>
      <c r="K53" s="121"/>
      <c r="L53" s="127"/>
      <c r="M53" s="2">
        <v>1</v>
      </c>
      <c r="N53" s="5">
        <v>583141</v>
      </c>
      <c r="O53" s="5"/>
      <c r="P53" s="5"/>
      <c r="Q53" s="5"/>
      <c r="R53" s="5"/>
      <c r="S53" s="5"/>
      <c r="T53" s="5"/>
      <c r="U53" s="5"/>
      <c r="V53" s="5"/>
    </row>
    <row r="54" spans="1:22" x14ac:dyDescent="0.25">
      <c r="A54" s="333"/>
      <c r="B54" s="65" t="s">
        <v>184</v>
      </c>
      <c r="C54" s="65"/>
      <c r="D54" s="236"/>
      <c r="E54" s="121"/>
      <c r="F54" s="127"/>
      <c r="G54" s="121">
        <v>1</v>
      </c>
      <c r="H54" s="127">
        <v>700000</v>
      </c>
      <c r="I54" s="121"/>
      <c r="J54" s="127"/>
      <c r="K54" s="121"/>
      <c r="L54" s="127"/>
      <c r="M54" s="2"/>
      <c r="N54" s="5"/>
      <c r="O54" s="5"/>
      <c r="P54" s="5"/>
      <c r="Q54" s="5"/>
      <c r="R54" s="5"/>
      <c r="S54" s="5"/>
      <c r="T54" s="5"/>
      <c r="U54" s="5"/>
      <c r="V54" s="5"/>
    </row>
    <row r="55" spans="1:22" x14ac:dyDescent="0.25">
      <c r="A55" s="333"/>
      <c r="B55" s="65" t="s">
        <v>11</v>
      </c>
      <c r="C55" s="65">
        <v>1</v>
      </c>
      <c r="D55" s="236">
        <v>926617</v>
      </c>
      <c r="E55" s="121"/>
      <c r="F55" s="127"/>
      <c r="G55" s="121"/>
      <c r="H55" s="121"/>
      <c r="I55" s="121">
        <v>1</v>
      </c>
      <c r="J55" s="127">
        <v>4462809</v>
      </c>
      <c r="K55" s="121"/>
      <c r="L55" s="127"/>
      <c r="M55" s="2"/>
      <c r="N55" s="5"/>
      <c r="O55" s="5">
        <v>1</v>
      </c>
      <c r="P55" s="5">
        <v>6831737</v>
      </c>
      <c r="Q55" s="5">
        <v>1</v>
      </c>
      <c r="R55" s="5">
        <v>1310273</v>
      </c>
      <c r="S55" s="5">
        <v>1</v>
      </c>
      <c r="T55" s="5">
        <v>1802559</v>
      </c>
      <c r="U55" s="5">
        <v>1</v>
      </c>
      <c r="V55" s="5">
        <v>1210000</v>
      </c>
    </row>
    <row r="56" spans="1:22" x14ac:dyDescent="0.25">
      <c r="A56" s="333"/>
      <c r="B56" s="65" t="s">
        <v>215</v>
      </c>
      <c r="C56" s="65">
        <v>1</v>
      </c>
      <c r="D56" s="236">
        <v>5518600</v>
      </c>
      <c r="E56" s="121">
        <v>1</v>
      </c>
      <c r="F56" s="127">
        <v>5518600</v>
      </c>
      <c r="G56" s="121"/>
      <c r="H56" s="121"/>
      <c r="I56" s="121"/>
      <c r="J56" s="127"/>
      <c r="K56" s="121"/>
      <c r="L56" s="127"/>
      <c r="M56" s="2"/>
      <c r="N56" s="5"/>
      <c r="O56" s="5"/>
      <c r="P56" s="5"/>
      <c r="Q56" s="5"/>
      <c r="R56" s="5"/>
      <c r="S56" s="5"/>
      <c r="T56" s="5"/>
      <c r="U56" s="5"/>
      <c r="V56" s="5"/>
    </row>
    <row r="57" spans="1:22" x14ac:dyDescent="0.25">
      <c r="A57" s="325"/>
      <c r="B57" s="65" t="s">
        <v>182</v>
      </c>
      <c r="C57" s="65"/>
      <c r="D57" s="236"/>
      <c r="E57" s="121"/>
      <c r="F57" s="127"/>
      <c r="G57" s="121">
        <v>1</v>
      </c>
      <c r="H57" s="127">
        <v>1643451</v>
      </c>
      <c r="I57" s="121"/>
      <c r="J57" s="127"/>
      <c r="K57" s="121"/>
      <c r="L57" s="127"/>
      <c r="M57" s="2"/>
      <c r="N57" s="5"/>
      <c r="O57" s="5"/>
      <c r="P57" s="5"/>
      <c r="Q57" s="5"/>
      <c r="R57" s="5"/>
      <c r="S57" s="5"/>
      <c r="T57" s="5"/>
      <c r="U57" s="5"/>
      <c r="V57" s="5"/>
    </row>
    <row r="58" spans="1:22" x14ac:dyDescent="0.25">
      <c r="A58" s="324" t="s">
        <v>13</v>
      </c>
      <c r="B58" s="65" t="s">
        <v>13</v>
      </c>
      <c r="C58" s="65">
        <v>1</v>
      </c>
      <c r="D58" s="236">
        <v>1652892</v>
      </c>
      <c r="E58" s="121"/>
      <c r="F58" s="127"/>
      <c r="G58" s="121"/>
      <c r="H58" s="121"/>
      <c r="I58" s="121"/>
      <c r="J58" s="127"/>
      <c r="K58" s="121"/>
      <c r="L58" s="127"/>
      <c r="M58" s="2"/>
      <c r="N58" s="5"/>
      <c r="O58" s="5">
        <v>1</v>
      </c>
      <c r="P58" s="5">
        <v>1324230</v>
      </c>
      <c r="Q58" s="5"/>
      <c r="R58" s="5"/>
      <c r="S58" s="5"/>
      <c r="T58" s="5"/>
      <c r="U58" s="5"/>
      <c r="V58" s="5"/>
    </row>
    <row r="59" spans="1:22" x14ac:dyDescent="0.25">
      <c r="A59" s="333"/>
      <c r="B59" s="65" t="s">
        <v>235</v>
      </c>
      <c r="C59" s="65">
        <v>1</v>
      </c>
      <c r="D59" s="236">
        <v>720000</v>
      </c>
      <c r="E59" s="121"/>
      <c r="F59" s="127"/>
      <c r="G59" s="121"/>
      <c r="H59" s="121"/>
      <c r="I59" s="121"/>
      <c r="J59" s="127"/>
      <c r="K59" s="121"/>
      <c r="L59" s="127"/>
      <c r="M59" s="2"/>
      <c r="N59" s="5"/>
      <c r="O59" s="5"/>
      <c r="P59" s="5"/>
      <c r="Q59" s="5"/>
      <c r="R59" s="5"/>
      <c r="S59" s="5"/>
      <c r="T59" s="5"/>
      <c r="U59" s="5"/>
      <c r="V59" s="5"/>
    </row>
    <row r="60" spans="1:22" x14ac:dyDescent="0.25">
      <c r="A60" s="325"/>
      <c r="B60" s="65" t="s">
        <v>131</v>
      </c>
      <c r="C60" s="65"/>
      <c r="D60" s="236"/>
      <c r="E60" s="121"/>
      <c r="F60" s="127"/>
      <c r="G60" s="121"/>
      <c r="H60" s="121"/>
      <c r="I60" s="121">
        <v>1</v>
      </c>
      <c r="J60" s="127">
        <v>500000</v>
      </c>
      <c r="K60" s="121"/>
      <c r="L60" s="127"/>
      <c r="M60" s="2"/>
      <c r="N60" s="5"/>
      <c r="O60" s="5"/>
      <c r="P60" s="5"/>
      <c r="Q60" s="5"/>
      <c r="R60" s="5"/>
      <c r="S60" s="5"/>
      <c r="T60" s="5"/>
      <c r="U60" s="5"/>
      <c r="V60" s="5"/>
    </row>
    <row r="61" spans="1:22" x14ac:dyDescent="0.25">
      <c r="A61" s="334" t="s">
        <v>133</v>
      </c>
      <c r="B61" s="65" t="s">
        <v>210</v>
      </c>
      <c r="C61" s="65">
        <v>1</v>
      </c>
      <c r="D61" s="236">
        <v>24204000</v>
      </c>
      <c r="E61" s="121">
        <v>1</v>
      </c>
      <c r="F61" s="127">
        <v>14612388</v>
      </c>
      <c r="G61" s="121"/>
      <c r="H61" s="121"/>
      <c r="I61" s="121"/>
      <c r="J61" s="127"/>
      <c r="K61" s="121"/>
      <c r="L61" s="127"/>
      <c r="M61" s="2"/>
      <c r="N61" s="5"/>
      <c r="O61" s="5"/>
      <c r="P61" s="5"/>
      <c r="Q61" s="5"/>
      <c r="R61" s="5"/>
      <c r="S61" s="5"/>
      <c r="T61" s="5"/>
      <c r="U61" s="5"/>
      <c r="V61" s="5"/>
    </row>
    <row r="62" spans="1:22" x14ac:dyDescent="0.25">
      <c r="A62" s="335"/>
      <c r="B62" s="65" t="s">
        <v>229</v>
      </c>
      <c r="C62" s="65">
        <v>1</v>
      </c>
      <c r="D62" s="236">
        <v>2117963</v>
      </c>
      <c r="E62" s="121"/>
      <c r="F62" s="127"/>
      <c r="G62" s="121"/>
      <c r="H62" s="121"/>
      <c r="I62" s="121"/>
      <c r="J62" s="127"/>
      <c r="K62" s="121"/>
      <c r="L62" s="127"/>
      <c r="M62" s="2"/>
      <c r="N62" s="5"/>
      <c r="O62" s="5"/>
      <c r="P62" s="5"/>
      <c r="Q62" s="5"/>
      <c r="R62" s="5"/>
      <c r="S62" s="5"/>
      <c r="T62" s="5"/>
      <c r="U62" s="5"/>
      <c r="V62" s="5"/>
    </row>
    <row r="63" spans="1:22" x14ac:dyDescent="0.25">
      <c r="A63" s="336"/>
      <c r="B63" s="65" t="s">
        <v>132</v>
      </c>
      <c r="C63" s="65"/>
      <c r="D63" s="249"/>
      <c r="E63" s="121"/>
      <c r="F63" s="127"/>
      <c r="G63" s="121"/>
      <c r="H63" s="121"/>
      <c r="I63" s="121">
        <v>1</v>
      </c>
      <c r="J63" s="127">
        <v>39321873</v>
      </c>
      <c r="K63" s="121"/>
      <c r="L63" s="127"/>
      <c r="M63" s="2"/>
      <c r="N63" s="5"/>
      <c r="O63" s="5"/>
      <c r="P63" s="5"/>
      <c r="Q63" s="5"/>
      <c r="R63" s="5"/>
      <c r="S63" s="5"/>
      <c r="T63" s="5"/>
      <c r="U63" s="5"/>
      <c r="V63" s="5"/>
    </row>
    <row r="64" spans="1:22" x14ac:dyDescent="0.25">
      <c r="A64" s="2" t="s">
        <v>118</v>
      </c>
      <c r="B64" s="65" t="s">
        <v>117</v>
      </c>
      <c r="C64" s="65"/>
      <c r="D64" s="236"/>
      <c r="E64" s="121"/>
      <c r="F64" s="127"/>
      <c r="G64" s="121"/>
      <c r="H64" s="121"/>
      <c r="I64" s="121"/>
      <c r="J64" s="127"/>
      <c r="K64" s="121">
        <v>1</v>
      </c>
      <c r="L64" s="127">
        <v>1400826</v>
      </c>
      <c r="M64" s="2"/>
      <c r="N64" s="5"/>
      <c r="O64" s="5"/>
      <c r="P64" s="5"/>
      <c r="Q64" s="5"/>
      <c r="R64" s="5"/>
      <c r="S64" s="5"/>
      <c r="T64" s="5"/>
      <c r="U64" s="5"/>
      <c r="V64" s="5"/>
    </row>
    <row r="65" spans="1:22" x14ac:dyDescent="0.25">
      <c r="A65" s="324" t="s">
        <v>230</v>
      </c>
      <c r="B65" s="65" t="s">
        <v>230</v>
      </c>
      <c r="C65" s="65">
        <v>1</v>
      </c>
      <c r="D65" s="236">
        <v>824000</v>
      </c>
      <c r="E65" s="121"/>
      <c r="F65" s="127"/>
      <c r="G65" s="121"/>
      <c r="H65" s="121"/>
      <c r="I65" s="121"/>
      <c r="J65" s="127"/>
      <c r="K65" s="121"/>
      <c r="L65" s="127"/>
      <c r="M65" s="2"/>
      <c r="N65" s="5"/>
      <c r="O65" s="5"/>
      <c r="P65" s="5"/>
      <c r="Q65" s="5"/>
      <c r="R65" s="5"/>
      <c r="S65" s="5"/>
      <c r="T65" s="5"/>
      <c r="U65" s="5"/>
      <c r="V65" s="5"/>
    </row>
    <row r="66" spans="1:22" x14ac:dyDescent="0.25">
      <c r="A66" s="325"/>
      <c r="B66" s="65" t="s">
        <v>236</v>
      </c>
      <c r="C66" s="65">
        <v>1</v>
      </c>
      <c r="D66" s="236">
        <v>13339319</v>
      </c>
      <c r="E66" s="121"/>
      <c r="F66" s="127"/>
      <c r="G66" s="121"/>
      <c r="H66" s="121"/>
      <c r="I66" s="121"/>
      <c r="J66" s="127"/>
      <c r="K66" s="121"/>
      <c r="L66" s="127"/>
      <c r="M66" s="2"/>
      <c r="N66" s="5"/>
      <c r="O66" s="5"/>
      <c r="P66" s="5"/>
      <c r="Q66" s="5"/>
      <c r="R66" s="5"/>
      <c r="S66" s="5"/>
      <c r="T66" s="5"/>
      <c r="U66" s="5"/>
      <c r="V66" s="5"/>
    </row>
    <row r="67" spans="1:22" x14ac:dyDescent="0.25">
      <c r="A67" s="2" t="s">
        <v>22</v>
      </c>
      <c r="B67" s="65" t="s">
        <v>19</v>
      </c>
      <c r="C67" s="65"/>
      <c r="D67" s="236"/>
      <c r="E67" s="121"/>
      <c r="F67" s="127"/>
      <c r="G67" s="121">
        <v>1</v>
      </c>
      <c r="H67" s="127">
        <v>950413</v>
      </c>
      <c r="I67" s="121"/>
      <c r="J67" s="127"/>
      <c r="K67" s="121"/>
      <c r="L67" s="127"/>
      <c r="M67" s="2"/>
      <c r="N67" s="5"/>
      <c r="O67" s="5">
        <v>1</v>
      </c>
      <c r="P67" s="5">
        <v>684000</v>
      </c>
      <c r="Q67" s="5"/>
      <c r="R67" s="5"/>
      <c r="S67" s="5"/>
      <c r="T67" s="5"/>
      <c r="U67" s="5"/>
      <c r="V67" s="5"/>
    </row>
    <row r="68" spans="1:22" x14ac:dyDescent="0.25">
      <c r="A68" s="39" t="s">
        <v>257</v>
      </c>
      <c r="B68" s="230" t="s">
        <v>231</v>
      </c>
      <c r="C68" s="230">
        <v>1</v>
      </c>
      <c r="D68" s="237">
        <v>537190</v>
      </c>
      <c r="E68" s="231"/>
      <c r="F68" s="232"/>
      <c r="G68" s="231"/>
      <c r="H68" s="127"/>
      <c r="I68" s="231"/>
      <c r="J68" s="232"/>
      <c r="K68" s="231"/>
      <c r="L68" s="232"/>
      <c r="M68" s="2"/>
      <c r="N68" s="5"/>
      <c r="O68" s="5"/>
      <c r="P68" s="5"/>
      <c r="Q68" s="5"/>
      <c r="R68" s="5"/>
      <c r="S68" s="5"/>
      <c r="T68" s="5"/>
      <c r="U68" s="5"/>
      <c r="V68" s="5"/>
    </row>
    <row r="69" spans="1:22" x14ac:dyDescent="0.25">
      <c r="A69" s="330" t="s">
        <v>3</v>
      </c>
      <c r="B69" s="331"/>
      <c r="C69" s="201">
        <f>SUM(C5:C68)</f>
        <v>22</v>
      </c>
      <c r="D69" s="128">
        <f>SUM(D5:D68)</f>
        <v>72945094</v>
      </c>
      <c r="E69" s="188">
        <f>SUM(E5:E67)</f>
        <v>12</v>
      </c>
      <c r="F69" s="128">
        <f>SUM(F5:F67)</f>
        <v>90023803</v>
      </c>
      <c r="G69" s="146">
        <f>SUM(G5:G67)</f>
        <v>11</v>
      </c>
      <c r="H69" s="166">
        <f>H67+H57+H54+H51+H49+H47+H33+H27+H26+H18+H14</f>
        <v>32746854</v>
      </c>
      <c r="I69" s="130">
        <f>SUM(I5:I67)</f>
        <v>10</v>
      </c>
      <c r="J69" s="128">
        <f>SUM(J5:J67)</f>
        <v>82393880</v>
      </c>
      <c r="K69" s="117">
        <f t="shared" ref="K69:Q69" si="0">SUM(K5:K67)</f>
        <v>18</v>
      </c>
      <c r="L69" s="128">
        <f t="shared" si="0"/>
        <v>25855925</v>
      </c>
      <c r="M69" s="172">
        <f t="shared" si="0"/>
        <v>8</v>
      </c>
      <c r="N69" s="71">
        <f t="shared" si="0"/>
        <v>10843914</v>
      </c>
      <c r="O69" s="71">
        <f t="shared" si="0"/>
        <v>11</v>
      </c>
      <c r="P69" s="71">
        <f t="shared" si="0"/>
        <v>90414446</v>
      </c>
      <c r="Q69" s="71">
        <f t="shared" si="0"/>
        <v>4</v>
      </c>
      <c r="R69" s="71">
        <f>SUM(R16:R67)</f>
        <v>6305294</v>
      </c>
      <c r="S69" s="71">
        <f>SUM(S5:S67)</f>
        <v>2</v>
      </c>
      <c r="T69" s="71">
        <f>SUM(T27:T67)</f>
        <v>2667933</v>
      </c>
      <c r="U69" s="71">
        <f>SUM(U5:U67)</f>
        <v>1</v>
      </c>
      <c r="V69" s="71">
        <f>SUM(V55:V67)</f>
        <v>1210000</v>
      </c>
    </row>
    <row r="70" spans="1:22" x14ac:dyDescent="0.25">
      <c r="M70" s="68"/>
      <c r="N70" s="68"/>
      <c r="O70" s="68"/>
      <c r="P70" s="68"/>
      <c r="Q70" s="68"/>
      <c r="R70" s="68"/>
      <c r="S70" s="68"/>
      <c r="T70" s="68"/>
      <c r="U70" s="68"/>
      <c r="V70" s="68"/>
    </row>
    <row r="71" spans="1:22" x14ac:dyDescent="0.25">
      <c r="M71" s="68"/>
      <c r="N71" s="68"/>
      <c r="O71" s="68"/>
      <c r="P71" s="68"/>
      <c r="Q71" s="68"/>
      <c r="R71" s="68"/>
      <c r="S71" s="68"/>
      <c r="T71" s="68"/>
      <c r="U71" s="68"/>
      <c r="V71" s="68"/>
    </row>
    <row r="72" spans="1:22" x14ac:dyDescent="0.25">
      <c r="F72" s="37"/>
      <c r="P72" s="69"/>
      <c r="Q72" s="69"/>
      <c r="R72" s="70"/>
    </row>
    <row r="73" spans="1:22" x14ac:dyDescent="0.25">
      <c r="F73" s="37"/>
      <c r="P73" s="69"/>
      <c r="Q73" s="69"/>
      <c r="R73" s="70"/>
    </row>
    <row r="74" spans="1:22" x14ac:dyDescent="0.25">
      <c r="F74" s="37"/>
      <c r="P74" s="69"/>
      <c r="Q74" s="69"/>
      <c r="R74" s="70"/>
    </row>
    <row r="75" spans="1:22" x14ac:dyDescent="0.25">
      <c r="F75" s="37"/>
      <c r="P75" s="69"/>
      <c r="Q75" s="69"/>
      <c r="R75" s="70"/>
    </row>
    <row r="76" spans="1:22" x14ac:dyDescent="0.25">
      <c r="F76" s="37"/>
    </row>
    <row r="77" spans="1:22" x14ac:dyDescent="0.25">
      <c r="F77" s="37"/>
    </row>
    <row r="78" spans="1:22" x14ac:dyDescent="0.25">
      <c r="F78" s="37"/>
    </row>
    <row r="79" spans="1:22" x14ac:dyDescent="0.25">
      <c r="F79" s="37"/>
    </row>
    <row r="80" spans="1:22" x14ac:dyDescent="0.25">
      <c r="F80" s="37"/>
    </row>
    <row r="81" spans="6:6" x14ac:dyDescent="0.25">
      <c r="F81" s="37"/>
    </row>
    <row r="82" spans="6:6" x14ac:dyDescent="0.25">
      <c r="F82" s="37"/>
    </row>
  </sheetData>
  <mergeCells count="23">
    <mergeCell ref="A58:A60"/>
    <mergeCell ref="A61:A63"/>
    <mergeCell ref="C3:D3"/>
    <mergeCell ref="A45:A46"/>
    <mergeCell ref="A41:A43"/>
    <mergeCell ref="A5:A6"/>
    <mergeCell ref="A12:A40"/>
    <mergeCell ref="A65:A66"/>
    <mergeCell ref="U3:V3"/>
    <mergeCell ref="A3:B4"/>
    <mergeCell ref="A69:B69"/>
    <mergeCell ref="Q3:R3"/>
    <mergeCell ref="S3:T3"/>
    <mergeCell ref="O3:P3"/>
    <mergeCell ref="M3:N3"/>
    <mergeCell ref="K3:L3"/>
    <mergeCell ref="A7:A8"/>
    <mergeCell ref="I3:J3"/>
    <mergeCell ref="A9:A11"/>
    <mergeCell ref="G3:H3"/>
    <mergeCell ref="A47:A48"/>
    <mergeCell ref="A50:A57"/>
    <mergeCell ref="E3:F3"/>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1:T62"/>
  <sheetViews>
    <sheetView topLeftCell="A22" zoomScale="80" zoomScaleNormal="80" workbookViewId="0">
      <selection activeCell="N48" sqref="N48"/>
    </sheetView>
  </sheetViews>
  <sheetFormatPr defaultRowHeight="15" x14ac:dyDescent="0.25"/>
  <cols>
    <col min="1" max="1" width="11.5703125" customWidth="1"/>
    <col min="2" max="2" width="11.140625" customWidth="1"/>
    <col min="3" max="3" width="9.140625" customWidth="1"/>
    <col min="16" max="16" width="9.85546875" bestFit="1" customWidth="1"/>
  </cols>
  <sheetData>
    <row r="21" spans="20:20" x14ac:dyDescent="0.25">
      <c r="T21" s="229"/>
    </row>
    <row r="22" spans="20:20" x14ac:dyDescent="0.25">
      <c r="T22" s="229"/>
    </row>
    <row r="23" spans="20:20" x14ac:dyDescent="0.25">
      <c r="T23" s="229"/>
    </row>
    <row r="24" spans="20:20" x14ac:dyDescent="0.25">
      <c r="T24" s="229"/>
    </row>
    <row r="25" spans="20:20" x14ac:dyDescent="0.25">
      <c r="T25" s="229"/>
    </row>
    <row r="26" spans="20:20" x14ac:dyDescent="0.25">
      <c r="T26" s="229"/>
    </row>
    <row r="27" spans="20:20" x14ac:dyDescent="0.25">
      <c r="T27" s="229"/>
    </row>
    <row r="28" spans="20:20" x14ac:dyDescent="0.25">
      <c r="T28" s="229"/>
    </row>
    <row r="29" spans="20:20" x14ac:dyDescent="0.25">
      <c r="T29" s="229"/>
    </row>
    <row r="30" spans="20:20" x14ac:dyDescent="0.25">
      <c r="T30" s="37"/>
    </row>
    <row r="34" spans="1:20" x14ac:dyDescent="0.25">
      <c r="A34" s="181" t="s">
        <v>207</v>
      </c>
    </row>
    <row r="35" spans="1:20" x14ac:dyDescent="0.25">
      <c r="T35" s="37"/>
    </row>
    <row r="36" spans="1:20" x14ac:dyDescent="0.25">
      <c r="A36" s="64" t="s">
        <v>232</v>
      </c>
      <c r="B36" s="341" t="s">
        <v>238</v>
      </c>
      <c r="C36" s="341"/>
      <c r="D36" s="341"/>
      <c r="E36" s="341"/>
      <c r="F36" s="341"/>
      <c r="G36" s="49">
        <v>5.0000000000000001E-3</v>
      </c>
    </row>
    <row r="37" spans="1:20" ht="28.5" customHeight="1" x14ac:dyDescent="0.25">
      <c r="A37" s="64" t="s">
        <v>25</v>
      </c>
      <c r="B37" s="340" t="s">
        <v>239</v>
      </c>
      <c r="C37" s="340"/>
      <c r="D37" s="340"/>
      <c r="E37" s="340"/>
      <c r="F37" s="340"/>
      <c r="G37" s="49">
        <v>6.0000000000000001E-3</v>
      </c>
      <c r="N37" s="228"/>
      <c r="O37" s="159"/>
      <c r="P37" s="227"/>
      <c r="Q37" s="229"/>
    </row>
    <row r="38" spans="1:20" x14ac:dyDescent="0.25">
      <c r="A38" s="64" t="s">
        <v>111</v>
      </c>
      <c r="B38" s="341" t="s">
        <v>240</v>
      </c>
      <c r="C38" s="341"/>
      <c r="D38" s="341"/>
      <c r="E38" s="341"/>
      <c r="F38" s="341"/>
      <c r="G38" s="49">
        <v>1.6E-2</v>
      </c>
    </row>
    <row r="39" spans="1:20" x14ac:dyDescent="0.25">
      <c r="A39" s="64" t="s">
        <v>113</v>
      </c>
      <c r="B39" s="341" t="s">
        <v>241</v>
      </c>
      <c r="C39" s="341"/>
      <c r="D39" s="341"/>
      <c r="E39" s="341"/>
      <c r="F39" s="341"/>
      <c r="G39" s="49">
        <v>8.0000000000000002E-3</v>
      </c>
    </row>
    <row r="40" spans="1:20" x14ac:dyDescent="0.25">
      <c r="A40" s="64" t="s">
        <v>128</v>
      </c>
      <c r="B40" s="341" t="s">
        <v>242</v>
      </c>
      <c r="C40" s="341"/>
      <c r="D40" s="341"/>
      <c r="E40" s="341"/>
      <c r="F40" s="341"/>
      <c r="G40" s="49">
        <v>0.01</v>
      </c>
    </row>
    <row r="41" spans="1:20" x14ac:dyDescent="0.25">
      <c r="A41" s="64" t="s">
        <v>89</v>
      </c>
      <c r="B41" s="341" t="s">
        <v>243</v>
      </c>
      <c r="C41" s="341"/>
      <c r="D41" s="341"/>
      <c r="E41" s="341"/>
      <c r="F41" s="341"/>
      <c r="G41" s="49">
        <v>2.5000000000000001E-2</v>
      </c>
    </row>
    <row r="42" spans="1:20" ht="30" customHeight="1" x14ac:dyDescent="0.25">
      <c r="A42" s="64" t="s">
        <v>212</v>
      </c>
      <c r="B42" s="340" t="s">
        <v>244</v>
      </c>
      <c r="C42" s="340"/>
      <c r="D42" s="340"/>
      <c r="E42" s="340"/>
      <c r="F42" s="340"/>
      <c r="G42" s="49">
        <v>4.1000000000000002E-2</v>
      </c>
    </row>
    <row r="43" spans="1:20" ht="29.25" customHeight="1" x14ac:dyDescent="0.25">
      <c r="A43" s="64" t="s">
        <v>234</v>
      </c>
      <c r="B43" s="340" t="s">
        <v>245</v>
      </c>
      <c r="C43" s="340"/>
      <c r="D43" s="340"/>
      <c r="E43" s="340"/>
      <c r="F43" s="340"/>
      <c r="G43" s="49">
        <v>0.106</v>
      </c>
    </row>
    <row r="44" spans="1:20" x14ac:dyDescent="0.25">
      <c r="A44" s="64" t="s">
        <v>233</v>
      </c>
      <c r="B44" s="341" t="s">
        <v>246</v>
      </c>
      <c r="C44" s="341"/>
      <c r="D44" s="341"/>
      <c r="E44" s="341"/>
      <c r="F44" s="341"/>
      <c r="G44" s="49">
        <v>1E-3</v>
      </c>
    </row>
    <row r="45" spans="1:20" x14ac:dyDescent="0.25">
      <c r="A45" s="64" t="s">
        <v>91</v>
      </c>
      <c r="B45" s="341" t="s">
        <v>247</v>
      </c>
      <c r="C45" s="341"/>
      <c r="D45" s="341"/>
      <c r="E45" s="341"/>
      <c r="F45" s="341"/>
      <c r="G45" s="49">
        <v>6.0000000000000001E-3</v>
      </c>
    </row>
    <row r="46" spans="1:20" x14ac:dyDescent="0.25">
      <c r="A46" s="226" t="s">
        <v>125</v>
      </c>
      <c r="B46" s="295" t="s">
        <v>237</v>
      </c>
      <c r="C46" s="296"/>
      <c r="D46" s="296"/>
      <c r="E46" s="296"/>
      <c r="F46" s="297"/>
      <c r="G46" s="49">
        <v>9.2999999999999999E-2</v>
      </c>
    </row>
    <row r="47" spans="1:20" ht="30.75" customHeight="1" x14ac:dyDescent="0.25">
      <c r="A47" s="65" t="s">
        <v>11</v>
      </c>
      <c r="B47" s="340" t="s">
        <v>248</v>
      </c>
      <c r="C47" s="340"/>
      <c r="D47" s="340"/>
      <c r="E47" s="340"/>
      <c r="F47" s="340"/>
      <c r="G47" s="49">
        <v>1.2999999999999999E-2</v>
      </c>
    </row>
    <row r="48" spans="1:20" ht="30.75" customHeight="1" x14ac:dyDescent="0.25">
      <c r="A48" s="65" t="s">
        <v>215</v>
      </c>
      <c r="B48" s="340" t="s">
        <v>249</v>
      </c>
      <c r="C48" s="340"/>
      <c r="D48" s="340"/>
      <c r="E48" s="340"/>
      <c r="F48" s="340"/>
      <c r="G48" s="49">
        <v>7.5999999999999998E-2</v>
      </c>
    </row>
    <row r="49" spans="1:11" ht="30.75" customHeight="1" x14ac:dyDescent="0.25">
      <c r="A49" s="65" t="s">
        <v>13</v>
      </c>
      <c r="B49" s="340" t="s">
        <v>250</v>
      </c>
      <c r="C49" s="340"/>
      <c r="D49" s="340"/>
      <c r="E49" s="340"/>
      <c r="F49" s="340"/>
      <c r="G49" s="49">
        <v>2.3E-2</v>
      </c>
    </row>
    <row r="50" spans="1:11" x14ac:dyDescent="0.25">
      <c r="A50" s="65" t="s">
        <v>235</v>
      </c>
      <c r="B50" s="341" t="s">
        <v>251</v>
      </c>
      <c r="C50" s="341"/>
      <c r="D50" s="341"/>
      <c r="E50" s="341"/>
      <c r="F50" s="341"/>
      <c r="G50" s="49">
        <v>0.01</v>
      </c>
    </row>
    <row r="51" spans="1:11" x14ac:dyDescent="0.25">
      <c r="A51" s="65" t="s">
        <v>210</v>
      </c>
      <c r="B51" s="341" t="s">
        <v>252</v>
      </c>
      <c r="C51" s="341"/>
      <c r="D51" s="341"/>
      <c r="E51" s="341"/>
      <c r="F51" s="341"/>
      <c r="G51" s="49">
        <v>0.33100000000000002</v>
      </c>
    </row>
    <row r="52" spans="1:11" x14ac:dyDescent="0.25">
      <c r="A52" s="65" t="s">
        <v>229</v>
      </c>
      <c r="B52" s="341" t="s">
        <v>253</v>
      </c>
      <c r="C52" s="341"/>
      <c r="D52" s="341"/>
      <c r="E52" s="341"/>
      <c r="F52" s="341"/>
      <c r="G52" s="49">
        <v>2.9000000000000001E-2</v>
      </c>
    </row>
    <row r="53" spans="1:11" ht="33" customHeight="1" x14ac:dyDescent="0.25">
      <c r="A53" s="65" t="s">
        <v>230</v>
      </c>
      <c r="B53" s="340" t="s">
        <v>254</v>
      </c>
      <c r="C53" s="340"/>
      <c r="D53" s="340"/>
      <c r="E53" s="340"/>
      <c r="F53" s="340"/>
      <c r="G53" s="49">
        <v>1.0999999999999999E-2</v>
      </c>
    </row>
    <row r="54" spans="1:11" x14ac:dyDescent="0.25">
      <c r="A54" s="65" t="s">
        <v>236</v>
      </c>
      <c r="B54" s="341" t="s">
        <v>255</v>
      </c>
      <c r="C54" s="341"/>
      <c r="D54" s="341"/>
      <c r="E54" s="341"/>
      <c r="F54" s="341"/>
      <c r="G54" s="49">
        <v>0.183</v>
      </c>
    </row>
    <row r="55" spans="1:11" x14ac:dyDescent="0.25">
      <c r="A55" s="65" t="s">
        <v>231</v>
      </c>
      <c r="B55" s="341" t="s">
        <v>256</v>
      </c>
      <c r="C55" s="341"/>
      <c r="D55" s="341"/>
      <c r="E55" s="341"/>
      <c r="F55" s="341"/>
      <c r="G55" s="49">
        <v>7.0000000000000001E-3</v>
      </c>
      <c r="H55" s="37"/>
    </row>
    <row r="56" spans="1:11" x14ac:dyDescent="0.25">
      <c r="G56" s="37"/>
      <c r="H56" s="37"/>
    </row>
    <row r="57" spans="1:11" x14ac:dyDescent="0.25">
      <c r="A57" s="183" t="s">
        <v>276</v>
      </c>
      <c r="G57" s="37"/>
      <c r="H57" s="37"/>
    </row>
    <row r="59" spans="1:11" ht="15.75" thickBot="1" x14ac:dyDescent="0.3">
      <c r="A59" s="11"/>
      <c r="B59" s="11" t="s">
        <v>219</v>
      </c>
      <c r="C59" s="11" t="s">
        <v>208</v>
      </c>
      <c r="D59" s="144" t="s">
        <v>134</v>
      </c>
      <c r="E59" s="11" t="s">
        <v>119</v>
      </c>
      <c r="F59" s="11" t="s">
        <v>97</v>
      </c>
      <c r="G59" s="11" t="s">
        <v>83</v>
      </c>
      <c r="H59" s="11" t="s">
        <v>8</v>
      </c>
      <c r="I59" s="11" t="s">
        <v>7</v>
      </c>
      <c r="J59" s="11" t="s">
        <v>6</v>
      </c>
      <c r="K59" s="11" t="s">
        <v>4</v>
      </c>
    </row>
    <row r="60" spans="1:11" ht="15.75" thickTop="1" x14ac:dyDescent="0.25">
      <c r="A60" s="6" t="s">
        <v>62</v>
      </c>
      <c r="B60" s="6">
        <v>1</v>
      </c>
      <c r="C60" s="6"/>
      <c r="D60" s="6">
        <v>1</v>
      </c>
      <c r="E60" s="6">
        <v>1</v>
      </c>
      <c r="F60" s="6"/>
      <c r="G60" s="6"/>
      <c r="H60" s="6"/>
      <c r="I60" s="6"/>
      <c r="J60" s="6"/>
      <c r="K60" s="6"/>
    </row>
    <row r="61" spans="1:11" x14ac:dyDescent="0.25">
      <c r="A61" s="2" t="s">
        <v>63</v>
      </c>
      <c r="B61" s="2">
        <v>12</v>
      </c>
      <c r="C61" s="2">
        <v>8</v>
      </c>
      <c r="D61" s="2">
        <v>6</v>
      </c>
      <c r="E61" s="2">
        <v>6</v>
      </c>
      <c r="F61" s="2">
        <v>16</v>
      </c>
      <c r="G61" s="2">
        <v>6</v>
      </c>
      <c r="H61" s="2">
        <v>7</v>
      </c>
      <c r="I61" s="2">
        <v>2</v>
      </c>
      <c r="J61" s="2">
        <v>1</v>
      </c>
      <c r="K61" s="2"/>
    </row>
    <row r="62" spans="1:11" x14ac:dyDescent="0.25">
      <c r="A62" s="2" t="s">
        <v>64</v>
      </c>
      <c r="B62" s="2">
        <v>9</v>
      </c>
      <c r="C62" s="2">
        <v>4</v>
      </c>
      <c r="D62" s="2">
        <v>4</v>
      </c>
      <c r="E62" s="2">
        <v>3</v>
      </c>
      <c r="F62" s="2">
        <v>2</v>
      </c>
      <c r="G62" s="2">
        <v>2</v>
      </c>
      <c r="H62" s="2">
        <v>4</v>
      </c>
      <c r="I62" s="2">
        <v>2</v>
      </c>
      <c r="J62" s="2">
        <v>1</v>
      </c>
      <c r="K62" s="2">
        <v>1</v>
      </c>
    </row>
  </sheetData>
  <mergeCells count="20">
    <mergeCell ref="B36:F36"/>
    <mergeCell ref="B38:F38"/>
    <mergeCell ref="B39:F39"/>
    <mergeCell ref="B40:F40"/>
    <mergeCell ref="B45:F45"/>
    <mergeCell ref="B37:F37"/>
    <mergeCell ref="B41:F41"/>
    <mergeCell ref="B42:F42"/>
    <mergeCell ref="B43:F43"/>
    <mergeCell ref="B44:F44"/>
    <mergeCell ref="B48:F48"/>
    <mergeCell ref="B55:F55"/>
    <mergeCell ref="B47:F47"/>
    <mergeCell ref="B54:F54"/>
    <mergeCell ref="B46:F46"/>
    <mergeCell ref="B53:F53"/>
    <mergeCell ref="B52:F52"/>
    <mergeCell ref="B51:F51"/>
    <mergeCell ref="B50:F50"/>
    <mergeCell ref="B49:F49"/>
  </mergeCells>
  <phoneticPr fontId="5" type="noConversion"/>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28E71-2657-40DC-AEC3-61BDB4BD15BE}">
  <dimension ref="A1:J32"/>
  <sheetViews>
    <sheetView tabSelected="1" workbookViewId="0">
      <selection activeCell="T5" sqref="T5"/>
    </sheetView>
  </sheetViews>
  <sheetFormatPr defaultRowHeight="15" x14ac:dyDescent="0.25"/>
  <sheetData>
    <row r="1" spans="1:10" x14ac:dyDescent="0.25">
      <c r="A1" s="153" t="s">
        <v>140</v>
      </c>
    </row>
    <row r="2" spans="1:10" ht="3.95" customHeight="1" x14ac:dyDescent="0.25"/>
    <row r="3" spans="1:10" ht="52.5" customHeight="1" x14ac:dyDescent="0.25">
      <c r="A3" s="2" t="s">
        <v>150</v>
      </c>
      <c r="B3" s="342" t="s">
        <v>283</v>
      </c>
      <c r="C3" s="342"/>
      <c r="D3" s="342"/>
      <c r="E3" s="342"/>
      <c r="F3" s="342"/>
      <c r="G3" s="342"/>
      <c r="H3" s="342"/>
      <c r="I3" s="342"/>
      <c r="J3" s="342"/>
    </row>
    <row r="4" spans="1:10" ht="30.75" customHeight="1" x14ac:dyDescent="0.25">
      <c r="A4" s="2" t="s">
        <v>151</v>
      </c>
      <c r="B4" s="342" t="s">
        <v>258</v>
      </c>
      <c r="C4" s="342"/>
      <c r="D4" s="342"/>
      <c r="E4" s="342"/>
      <c r="F4" s="342"/>
      <c r="G4" s="342"/>
      <c r="H4" s="342"/>
      <c r="I4" s="342"/>
      <c r="J4" s="342"/>
    </row>
    <row r="5" spans="1:10" ht="60" customHeight="1" x14ac:dyDescent="0.25">
      <c r="A5" s="2" t="s">
        <v>152</v>
      </c>
      <c r="B5" s="342" t="s">
        <v>259</v>
      </c>
      <c r="C5" s="342"/>
      <c r="D5" s="342"/>
      <c r="E5" s="342"/>
      <c r="F5" s="342"/>
      <c r="G5" s="342"/>
      <c r="H5" s="342"/>
      <c r="I5" s="342"/>
      <c r="J5" s="342"/>
    </row>
    <row r="6" spans="1:10" ht="105" customHeight="1" x14ac:dyDescent="0.25">
      <c r="A6" s="2" t="s">
        <v>153</v>
      </c>
      <c r="B6" s="343" t="s">
        <v>277</v>
      </c>
      <c r="C6" s="344"/>
      <c r="D6" s="344"/>
      <c r="E6" s="344"/>
      <c r="F6" s="344"/>
      <c r="G6" s="344"/>
      <c r="H6" s="344"/>
      <c r="I6" s="344"/>
      <c r="J6" s="345"/>
    </row>
    <row r="7" spans="1:10" ht="33.75" customHeight="1" x14ac:dyDescent="0.25">
      <c r="A7" s="2" t="s">
        <v>154</v>
      </c>
      <c r="B7" s="342" t="s">
        <v>260</v>
      </c>
      <c r="C7" s="342"/>
      <c r="D7" s="342"/>
      <c r="E7" s="342"/>
      <c r="F7" s="342"/>
      <c r="G7" s="342"/>
      <c r="H7" s="342"/>
      <c r="I7" s="342"/>
      <c r="J7" s="342"/>
    </row>
    <row r="8" spans="1:10" ht="93" customHeight="1" x14ac:dyDescent="0.25">
      <c r="A8" s="2" t="s">
        <v>155</v>
      </c>
      <c r="B8" s="343" t="s">
        <v>261</v>
      </c>
      <c r="C8" s="344"/>
      <c r="D8" s="344"/>
      <c r="E8" s="344"/>
      <c r="F8" s="344"/>
      <c r="G8" s="344"/>
      <c r="H8" s="344"/>
      <c r="I8" s="344"/>
      <c r="J8" s="345"/>
    </row>
    <row r="9" spans="1:10" ht="76.5" customHeight="1" x14ac:dyDescent="0.25">
      <c r="A9" s="2" t="s">
        <v>156</v>
      </c>
      <c r="B9" s="343" t="s">
        <v>278</v>
      </c>
      <c r="C9" s="344"/>
      <c r="D9" s="344"/>
      <c r="E9" s="344"/>
      <c r="F9" s="344"/>
      <c r="G9" s="344"/>
      <c r="H9" s="344"/>
      <c r="I9" s="344"/>
      <c r="J9" s="345"/>
    </row>
    <row r="10" spans="1:10" ht="76.5" customHeight="1" x14ac:dyDescent="0.25">
      <c r="A10" s="2" t="s">
        <v>157</v>
      </c>
      <c r="B10" s="342" t="s">
        <v>279</v>
      </c>
      <c r="C10" s="342"/>
      <c r="D10" s="342"/>
      <c r="E10" s="342"/>
      <c r="F10" s="342"/>
      <c r="G10" s="342"/>
      <c r="H10" s="342"/>
      <c r="I10" s="342"/>
      <c r="J10" s="342"/>
    </row>
    <row r="11" spans="1:10" ht="57" customHeight="1" x14ac:dyDescent="0.25">
      <c r="A11" s="2" t="s">
        <v>187</v>
      </c>
      <c r="B11" s="342" t="s">
        <v>262</v>
      </c>
      <c r="C11" s="342"/>
      <c r="D11" s="342"/>
      <c r="E11" s="342"/>
      <c r="F11" s="342"/>
      <c r="G11" s="342"/>
      <c r="H11" s="342"/>
      <c r="I11" s="342"/>
      <c r="J11" s="342"/>
    </row>
    <row r="12" spans="1:10" ht="105" customHeight="1" x14ac:dyDescent="0.25">
      <c r="A12" s="2" t="s">
        <v>188</v>
      </c>
      <c r="B12" s="342" t="s">
        <v>263</v>
      </c>
      <c r="C12" s="342"/>
      <c r="D12" s="342"/>
      <c r="E12" s="342"/>
      <c r="F12" s="342"/>
      <c r="G12" s="342"/>
      <c r="H12" s="342"/>
      <c r="I12" s="342"/>
      <c r="J12" s="342"/>
    </row>
    <row r="13" spans="1:10" ht="120.75" customHeight="1" x14ac:dyDescent="0.25">
      <c r="A13" s="2" t="s">
        <v>189</v>
      </c>
      <c r="B13" s="342" t="s">
        <v>264</v>
      </c>
      <c r="C13" s="342"/>
      <c r="D13" s="342"/>
      <c r="E13" s="342"/>
      <c r="F13" s="342"/>
      <c r="G13" s="342"/>
      <c r="H13" s="342"/>
      <c r="I13" s="342"/>
      <c r="J13" s="342"/>
    </row>
    <row r="14" spans="1:10" x14ac:dyDescent="0.25">
      <c r="A14" s="134"/>
    </row>
    <row r="15" spans="1:10" x14ac:dyDescent="0.25">
      <c r="B15" s="167"/>
    </row>
    <row r="25" spans="4:8" x14ac:dyDescent="0.25">
      <c r="D25" s="154"/>
      <c r="E25" s="155"/>
      <c r="F25" s="155"/>
    </row>
    <row r="26" spans="4:8" x14ac:dyDescent="0.25">
      <c r="D26" s="155"/>
      <c r="E26" s="155"/>
      <c r="F26" s="155"/>
      <c r="G26" s="155"/>
      <c r="H26" s="155"/>
    </row>
    <row r="27" spans="4:8" x14ac:dyDescent="0.25">
      <c r="D27" s="155"/>
      <c r="E27" s="155"/>
      <c r="F27" s="155"/>
    </row>
    <row r="28" spans="4:8" x14ac:dyDescent="0.25">
      <c r="D28" s="155"/>
      <c r="E28" s="155"/>
      <c r="F28" s="155"/>
    </row>
    <row r="29" spans="4:8" x14ac:dyDescent="0.25">
      <c r="D29" s="155"/>
      <c r="E29" s="155"/>
      <c r="F29" s="155"/>
    </row>
    <row r="30" spans="4:8" x14ac:dyDescent="0.25">
      <c r="D30" s="155"/>
      <c r="E30" s="155"/>
      <c r="F30" s="155"/>
    </row>
    <row r="31" spans="4:8" x14ac:dyDescent="0.25">
      <c r="D31" s="154"/>
      <c r="E31" s="154"/>
      <c r="F31" s="154"/>
    </row>
    <row r="32" spans="4:8" x14ac:dyDescent="0.25">
      <c r="D32" s="156"/>
      <c r="E32" s="155"/>
      <c r="F32" s="155"/>
    </row>
  </sheetData>
  <mergeCells count="11">
    <mergeCell ref="B13:J13"/>
    <mergeCell ref="B11:J11"/>
    <mergeCell ref="B12:J12"/>
    <mergeCell ref="B3:J3"/>
    <mergeCell ref="B4:J4"/>
    <mergeCell ref="B5:J5"/>
    <mergeCell ref="B7:J7"/>
    <mergeCell ref="B10:J10"/>
    <mergeCell ref="B6:J6"/>
    <mergeCell ref="B8:J8"/>
    <mergeCell ref="B9:J9"/>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7C01-BEF2-49C0-B2D2-FB9B69CA7BF8}">
  <dimension ref="A1:J35"/>
  <sheetViews>
    <sheetView topLeftCell="A3" workbookViewId="0">
      <selection activeCell="M19" sqref="M19"/>
    </sheetView>
  </sheetViews>
  <sheetFormatPr defaultRowHeight="15" x14ac:dyDescent="0.25"/>
  <cols>
    <col min="1" max="1" width="4.140625" customWidth="1"/>
  </cols>
  <sheetData>
    <row r="1" spans="1:10" ht="32.25" customHeight="1" x14ac:dyDescent="0.25">
      <c r="A1" s="252" t="s">
        <v>217</v>
      </c>
      <c r="B1" s="252"/>
      <c r="C1" s="252"/>
      <c r="D1" s="252"/>
      <c r="E1" s="252"/>
      <c r="F1" s="252"/>
      <c r="G1" s="252"/>
      <c r="H1" s="252"/>
      <c r="I1" s="252"/>
      <c r="J1" s="252"/>
    </row>
    <row r="3" spans="1:10" x14ac:dyDescent="0.25">
      <c r="A3" s="1" t="s">
        <v>135</v>
      </c>
    </row>
    <row r="4" spans="1:10" ht="17.25" customHeight="1" x14ac:dyDescent="0.25"/>
    <row r="5" spans="1:10" x14ac:dyDescent="0.25">
      <c r="A5" s="152" t="s">
        <v>136</v>
      </c>
      <c r="B5" s="152" t="s">
        <v>159</v>
      </c>
      <c r="C5" s="152"/>
      <c r="D5" s="152"/>
      <c r="E5" s="152"/>
      <c r="F5" s="152"/>
      <c r="G5" s="152"/>
      <c r="H5" s="152"/>
    </row>
    <row r="6" spans="1:10" x14ac:dyDescent="0.25">
      <c r="A6" s="152" t="s">
        <v>137</v>
      </c>
      <c r="B6" s="152" t="s">
        <v>158</v>
      </c>
      <c r="C6" s="152"/>
      <c r="D6" s="152"/>
      <c r="E6" s="152"/>
      <c r="F6" s="152"/>
      <c r="G6" s="152"/>
      <c r="H6" s="152"/>
    </row>
    <row r="7" spans="1:10" x14ac:dyDescent="0.25">
      <c r="A7" t="s">
        <v>138</v>
      </c>
      <c r="B7" t="s">
        <v>160</v>
      </c>
    </row>
    <row r="8" spans="1:10" x14ac:dyDescent="0.25">
      <c r="A8" t="s">
        <v>139</v>
      </c>
      <c r="B8" t="s">
        <v>170</v>
      </c>
    </row>
    <row r="9" spans="1:10" x14ac:dyDescent="0.25">
      <c r="A9" t="s">
        <v>161</v>
      </c>
      <c r="B9" t="s">
        <v>171</v>
      </c>
    </row>
    <row r="10" spans="1:10" x14ac:dyDescent="0.25">
      <c r="A10" t="s">
        <v>162</v>
      </c>
      <c r="B10" t="s">
        <v>173</v>
      </c>
    </row>
    <row r="11" spans="1:10" x14ac:dyDescent="0.25">
      <c r="A11" t="s">
        <v>163</v>
      </c>
      <c r="B11" t="s">
        <v>172</v>
      </c>
    </row>
    <row r="12" spans="1:10" x14ac:dyDescent="0.25">
      <c r="A12" t="s">
        <v>164</v>
      </c>
      <c r="B12" t="s">
        <v>176</v>
      </c>
    </row>
    <row r="13" spans="1:10" x14ac:dyDescent="0.25">
      <c r="A13" t="s">
        <v>165</v>
      </c>
      <c r="B13" t="s">
        <v>175</v>
      </c>
    </row>
    <row r="14" spans="1:10" x14ac:dyDescent="0.25">
      <c r="A14" t="s">
        <v>166</v>
      </c>
      <c r="B14" t="s">
        <v>177</v>
      </c>
    </row>
    <row r="15" spans="1:10" x14ac:dyDescent="0.25">
      <c r="A15" t="s">
        <v>167</v>
      </c>
      <c r="B15" t="s">
        <v>265</v>
      </c>
    </row>
    <row r="16" spans="1:10" x14ac:dyDescent="0.25">
      <c r="A16" t="s">
        <v>168</v>
      </c>
      <c r="B16" t="s">
        <v>266</v>
      </c>
    </row>
    <row r="17" spans="1:10" x14ac:dyDescent="0.25">
      <c r="A17" t="s">
        <v>169</v>
      </c>
      <c r="B17" t="s">
        <v>140</v>
      </c>
    </row>
    <row r="19" spans="1:10" x14ac:dyDescent="0.25">
      <c r="A19" s="1" t="s">
        <v>141</v>
      </c>
    </row>
    <row r="21" spans="1:10" ht="110.1" customHeight="1" x14ac:dyDescent="0.25">
      <c r="A21" s="253" t="s">
        <v>142</v>
      </c>
      <c r="B21" s="253"/>
      <c r="C21" s="253" t="s">
        <v>267</v>
      </c>
      <c r="D21" s="253"/>
      <c r="E21" s="253"/>
      <c r="F21" s="253"/>
      <c r="G21" s="253"/>
      <c r="H21" s="253"/>
      <c r="I21" s="253"/>
      <c r="J21" s="253"/>
    </row>
    <row r="22" spans="1:10" ht="112.5" customHeight="1" x14ac:dyDescent="0.25">
      <c r="A22" s="253" t="s">
        <v>143</v>
      </c>
      <c r="B22" s="253"/>
      <c r="C22" s="253" t="s">
        <v>218</v>
      </c>
      <c r="D22" s="253"/>
      <c r="E22" s="253"/>
      <c r="F22" s="253"/>
      <c r="G22" s="253"/>
      <c r="H22" s="253"/>
      <c r="I22" s="253"/>
      <c r="J22" s="253"/>
    </row>
    <row r="23" spans="1:10" ht="50.85" customHeight="1" x14ac:dyDescent="0.25">
      <c r="A23" s="253" t="s">
        <v>144</v>
      </c>
      <c r="B23" s="253"/>
      <c r="C23" s="253" t="s">
        <v>224</v>
      </c>
      <c r="D23" s="253"/>
      <c r="E23" s="253"/>
      <c r="F23" s="253"/>
      <c r="G23" s="253"/>
      <c r="H23" s="253"/>
      <c r="I23" s="253"/>
      <c r="J23" s="253"/>
    </row>
    <row r="24" spans="1:10" ht="33.75" customHeight="1" x14ac:dyDescent="0.25">
      <c r="A24" s="254" t="s">
        <v>145</v>
      </c>
      <c r="B24" s="254"/>
      <c r="C24" s="253" t="s">
        <v>185</v>
      </c>
      <c r="D24" s="253"/>
      <c r="E24" s="253"/>
      <c r="F24" s="253"/>
      <c r="G24" s="253"/>
      <c r="H24" s="253"/>
      <c r="I24" s="253"/>
      <c r="J24" s="253"/>
    </row>
    <row r="25" spans="1:10" ht="136.5" customHeight="1" x14ac:dyDescent="0.25">
      <c r="A25" s="253" t="s">
        <v>146</v>
      </c>
      <c r="B25" s="253"/>
      <c r="C25" s="253" t="s">
        <v>225</v>
      </c>
      <c r="D25" s="253"/>
      <c r="E25" s="253"/>
      <c r="F25" s="253"/>
      <c r="G25" s="253"/>
      <c r="H25" s="253"/>
      <c r="I25" s="253"/>
      <c r="J25" s="253"/>
    </row>
    <row r="27" spans="1:10" x14ac:dyDescent="0.25">
      <c r="A27" s="1" t="s">
        <v>147</v>
      </c>
    </row>
    <row r="28" spans="1:10" x14ac:dyDescent="0.25">
      <c r="A28" t="s">
        <v>148</v>
      </c>
    </row>
    <row r="29" spans="1:10" x14ac:dyDescent="0.25">
      <c r="A29" t="s">
        <v>186</v>
      </c>
    </row>
    <row r="30" spans="1:10" x14ac:dyDescent="0.25">
      <c r="A30" t="s">
        <v>149</v>
      </c>
    </row>
    <row r="31" spans="1:10" x14ac:dyDescent="0.25">
      <c r="A31" t="s">
        <v>192</v>
      </c>
    </row>
    <row r="32" spans="1:10" x14ac:dyDescent="0.25">
      <c r="A32" t="s">
        <v>191</v>
      </c>
    </row>
    <row r="33" spans="1:10" ht="30.2" customHeight="1" x14ac:dyDescent="0.25">
      <c r="A33" s="251" t="s">
        <v>221</v>
      </c>
      <c r="B33" s="251"/>
      <c r="C33" s="251"/>
      <c r="D33" s="251"/>
      <c r="E33" s="251"/>
      <c r="F33" s="251"/>
      <c r="G33" s="251"/>
      <c r="H33" s="251"/>
      <c r="I33" s="251"/>
      <c r="J33" s="251"/>
    </row>
    <row r="34" spans="1:10" ht="36.6" customHeight="1" x14ac:dyDescent="0.25">
      <c r="A34" s="251" t="s">
        <v>222</v>
      </c>
      <c r="B34" s="251"/>
      <c r="C34" s="251"/>
      <c r="D34" s="251"/>
      <c r="E34" s="251"/>
      <c r="F34" s="251"/>
      <c r="G34" s="251"/>
      <c r="H34" s="251"/>
      <c r="I34" s="251"/>
      <c r="J34" s="251"/>
    </row>
    <row r="35" spans="1:10" ht="30.75" customHeight="1" x14ac:dyDescent="0.25">
      <c r="A35" s="251"/>
      <c r="B35" s="251"/>
      <c r="C35" s="251"/>
      <c r="D35" s="251"/>
      <c r="E35" s="251"/>
      <c r="F35" s="251"/>
      <c r="G35" s="251"/>
      <c r="H35" s="251"/>
      <c r="I35" s="251"/>
      <c r="J35" s="251"/>
    </row>
  </sheetData>
  <mergeCells count="14">
    <mergeCell ref="A35:J35"/>
    <mergeCell ref="A1:J1"/>
    <mergeCell ref="A21:B21"/>
    <mergeCell ref="C21:J21"/>
    <mergeCell ref="A22:B22"/>
    <mergeCell ref="C22:J22"/>
    <mergeCell ref="A23:B23"/>
    <mergeCell ref="C23:J23"/>
    <mergeCell ref="A33:J33"/>
    <mergeCell ref="A24:B24"/>
    <mergeCell ref="C24:J24"/>
    <mergeCell ref="A25:B25"/>
    <mergeCell ref="C25:J25"/>
    <mergeCell ref="A34:J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workbookViewId="0">
      <selection activeCell="N44" sqref="N44"/>
    </sheetView>
  </sheetViews>
  <sheetFormatPr defaultRowHeight="15" x14ac:dyDescent="0.25"/>
  <cols>
    <col min="2" max="2" width="10.85546875" customWidth="1"/>
    <col min="3" max="3" width="10.28515625" customWidth="1"/>
    <col min="4" max="4" width="7.28515625" customWidth="1"/>
    <col min="5" max="5" width="11.85546875" customWidth="1"/>
    <col min="6" max="6" width="13.140625" customWidth="1"/>
    <col min="7" max="7" width="16.42578125" customWidth="1"/>
  </cols>
  <sheetData>
    <row r="1" spans="1:10" x14ac:dyDescent="0.25">
      <c r="A1" s="1" t="s">
        <v>201</v>
      </c>
    </row>
    <row r="2" spans="1:10" x14ac:dyDescent="0.25">
      <c r="A2" s="1"/>
    </row>
    <row r="3" spans="1:10" x14ac:dyDescent="0.25">
      <c r="A3" s="258"/>
      <c r="B3" s="255" t="s">
        <v>0</v>
      </c>
      <c r="C3" s="256"/>
      <c r="D3" s="257"/>
      <c r="E3" s="255" t="s">
        <v>40</v>
      </c>
      <c r="F3" s="256"/>
      <c r="G3" s="257"/>
    </row>
    <row r="4" spans="1:10" ht="45.75" thickBot="1" x14ac:dyDescent="0.3">
      <c r="A4" s="259"/>
      <c r="B4" s="12" t="s">
        <v>1</v>
      </c>
      <c r="C4" s="12" t="s">
        <v>2</v>
      </c>
      <c r="D4" s="174" t="s">
        <v>3</v>
      </c>
      <c r="E4" s="12" t="s">
        <v>1</v>
      </c>
      <c r="F4" s="12" t="s">
        <v>2</v>
      </c>
      <c r="G4" s="174" t="s">
        <v>3</v>
      </c>
    </row>
    <row r="5" spans="1:10" ht="15.75" thickTop="1" x14ac:dyDescent="0.25">
      <c r="A5" s="6" t="s">
        <v>4</v>
      </c>
      <c r="B5" s="7">
        <v>1</v>
      </c>
      <c r="C5" s="7">
        <v>2</v>
      </c>
      <c r="D5" s="175">
        <f>SUM(B5:C5)</f>
        <v>3</v>
      </c>
      <c r="E5" s="9">
        <v>1210000</v>
      </c>
      <c r="F5" s="9">
        <v>312514</v>
      </c>
      <c r="G5" s="178">
        <f t="shared" ref="G5:G10" si="0">E5+F5</f>
        <v>1522514</v>
      </c>
    </row>
    <row r="6" spans="1:10" x14ac:dyDescent="0.25">
      <c r="A6" s="2" t="s">
        <v>6</v>
      </c>
      <c r="B6" s="3">
        <v>2</v>
      </c>
      <c r="C6" s="3">
        <v>18</v>
      </c>
      <c r="D6" s="176">
        <f>B6+C6</f>
        <v>20</v>
      </c>
      <c r="E6" s="4">
        <v>2667933</v>
      </c>
      <c r="F6" s="4">
        <v>2535151</v>
      </c>
      <c r="G6" s="179">
        <f t="shared" si="0"/>
        <v>5203084</v>
      </c>
      <c r="J6" s="13"/>
    </row>
    <row r="7" spans="1:10" x14ac:dyDescent="0.25">
      <c r="A7" s="2" t="s">
        <v>7</v>
      </c>
      <c r="B7" s="3">
        <v>4</v>
      </c>
      <c r="C7" s="3">
        <v>13</v>
      </c>
      <c r="D7" s="176">
        <f>B7+C7</f>
        <v>17</v>
      </c>
      <c r="E7" s="4">
        <v>6305295</v>
      </c>
      <c r="F7" s="4">
        <v>1178053</v>
      </c>
      <c r="G7" s="179">
        <f t="shared" si="0"/>
        <v>7483348</v>
      </c>
    </row>
    <row r="8" spans="1:10" x14ac:dyDescent="0.25">
      <c r="A8" s="2" t="s">
        <v>8</v>
      </c>
      <c r="B8" s="2">
        <v>11</v>
      </c>
      <c r="C8" s="2">
        <v>27</v>
      </c>
      <c r="D8" s="158">
        <f>B8+C8</f>
        <v>38</v>
      </c>
      <c r="E8" s="5">
        <v>90414446</v>
      </c>
      <c r="F8" s="5">
        <v>94497858</v>
      </c>
      <c r="G8" s="177">
        <f t="shared" si="0"/>
        <v>184912304</v>
      </c>
    </row>
    <row r="9" spans="1:10" x14ac:dyDescent="0.25">
      <c r="A9" s="73" t="s">
        <v>83</v>
      </c>
      <c r="B9" s="2">
        <v>8</v>
      </c>
      <c r="C9" s="5">
        <v>19</v>
      </c>
      <c r="D9" s="177">
        <f>SUM(B9:C9)</f>
        <v>27</v>
      </c>
      <c r="E9" s="5">
        <v>10843914</v>
      </c>
      <c r="F9" s="5">
        <v>4462459</v>
      </c>
      <c r="G9" s="177">
        <f t="shared" si="0"/>
        <v>15306373</v>
      </c>
    </row>
    <row r="10" spans="1:10" x14ac:dyDescent="0.25">
      <c r="A10" s="73" t="s">
        <v>97</v>
      </c>
      <c r="B10" s="2">
        <f>15+3</f>
        <v>18</v>
      </c>
      <c r="C10" s="2">
        <f>2+7+2+3+4</f>
        <v>18</v>
      </c>
      <c r="D10" s="158">
        <f>B10+C10</f>
        <v>36</v>
      </c>
      <c r="E10" s="5">
        <f>1133167+21085845+3636914</f>
        <v>25855926</v>
      </c>
      <c r="F10" s="5">
        <f>977476+164474+45836+18076+32780+965622+10350+9810+29500+414583+94974</f>
        <v>2763481</v>
      </c>
      <c r="G10" s="177">
        <f t="shared" si="0"/>
        <v>28619407</v>
      </c>
    </row>
    <row r="11" spans="1:10" x14ac:dyDescent="0.25">
      <c r="A11" s="73" t="s">
        <v>119</v>
      </c>
      <c r="B11" s="2">
        <v>10</v>
      </c>
      <c r="C11" s="2">
        <v>29</v>
      </c>
      <c r="D11" s="158">
        <f>B11+C11</f>
        <v>39</v>
      </c>
      <c r="E11" s="5">
        <v>82393880</v>
      </c>
      <c r="F11" s="5">
        <v>12830247</v>
      </c>
      <c r="G11" s="177">
        <f>E11+F11</f>
        <v>95224127</v>
      </c>
    </row>
    <row r="12" spans="1:10" x14ac:dyDescent="0.25">
      <c r="A12" s="73" t="s">
        <v>134</v>
      </c>
      <c r="B12" s="2">
        <v>11</v>
      </c>
      <c r="C12" s="2">
        <v>31</v>
      </c>
      <c r="D12" s="158">
        <f>B12+C12</f>
        <v>42</v>
      </c>
      <c r="E12" s="5">
        <v>32746854</v>
      </c>
      <c r="F12" s="5">
        <v>22815310</v>
      </c>
      <c r="G12" s="177">
        <f>E12+F12</f>
        <v>55562164</v>
      </c>
    </row>
    <row r="13" spans="1:10" x14ac:dyDescent="0.25">
      <c r="A13" s="73" t="s">
        <v>208</v>
      </c>
      <c r="B13" s="2">
        <v>12</v>
      </c>
      <c r="C13" s="2">
        <v>61</v>
      </c>
      <c r="D13" s="158">
        <f>B13+C13</f>
        <v>73</v>
      </c>
      <c r="E13" s="5">
        <v>90023803</v>
      </c>
      <c r="F13" s="5">
        <v>13753907</v>
      </c>
      <c r="G13" s="177">
        <f>E13+F13</f>
        <v>103777710</v>
      </c>
    </row>
    <row r="14" spans="1:10" x14ac:dyDescent="0.25">
      <c r="A14" s="73" t="s">
        <v>219</v>
      </c>
      <c r="B14" s="2">
        <v>22</v>
      </c>
      <c r="C14" s="2">
        <v>48</v>
      </c>
      <c r="D14" s="158">
        <f>B14+C14</f>
        <v>70</v>
      </c>
      <c r="E14" s="5">
        <v>72945094</v>
      </c>
      <c r="F14" s="5">
        <v>7115295</v>
      </c>
      <c r="G14" s="177">
        <f>E14+F14</f>
        <v>80060389</v>
      </c>
    </row>
    <row r="16" spans="1:10" x14ac:dyDescent="0.25">
      <c r="G16" s="238"/>
    </row>
    <row r="17" spans="5:6" x14ac:dyDescent="0.25">
      <c r="E17" s="68"/>
      <c r="F17" s="68"/>
    </row>
  </sheetData>
  <mergeCells count="3">
    <mergeCell ref="B3:D3"/>
    <mergeCell ref="E3:G3"/>
    <mergeCell ref="A3:A4"/>
  </mergeCells>
  <conditionalFormatting sqref="B5:B14">
    <cfRule type="iconSet" priority="4">
      <iconSet iconSet="3Arrows">
        <cfvo type="percent" val="0"/>
        <cfvo type="percent" val="33"/>
        <cfvo type="percent" val="67"/>
      </iconSet>
    </cfRule>
  </conditionalFormatting>
  <conditionalFormatting sqref="C5:C14">
    <cfRule type="iconSet" priority="3">
      <iconSet iconSet="3Arrows">
        <cfvo type="percent" val="0"/>
        <cfvo type="percent" val="33"/>
        <cfvo type="percent" val="67"/>
      </iconSet>
    </cfRule>
  </conditionalFormatting>
  <conditionalFormatting sqref="E5:E14">
    <cfRule type="iconSet" priority="2">
      <iconSet iconSet="3Arrows">
        <cfvo type="percent" val="0"/>
        <cfvo type="percent" val="33"/>
        <cfvo type="percent" val="67"/>
      </iconSet>
    </cfRule>
  </conditionalFormatting>
  <conditionalFormatting sqref="F5:F14">
    <cfRule type="iconSet" priority="1">
      <iconSet iconSet="3Arrows">
        <cfvo type="percent" val="0"/>
        <cfvo type="percent" val="33"/>
        <cfvo type="percent" val="67"/>
      </iconSet>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5:E38"/>
  <sheetViews>
    <sheetView topLeftCell="A22" workbookViewId="0">
      <selection activeCell="J44" sqref="J44"/>
    </sheetView>
  </sheetViews>
  <sheetFormatPr defaultRowHeight="15" x14ac:dyDescent="0.25"/>
  <cols>
    <col min="2" max="2" width="10.42578125" customWidth="1"/>
    <col min="3" max="3" width="11.5703125" customWidth="1"/>
    <col min="4" max="5" width="12.140625" bestFit="1" customWidth="1"/>
  </cols>
  <sheetData>
    <row r="25" spans="1:5" ht="26.25" customHeight="1" x14ac:dyDescent="0.25"/>
    <row r="26" spans="1:5" x14ac:dyDescent="0.25">
      <c r="A26" s="181" t="s">
        <v>202</v>
      </c>
    </row>
    <row r="28" spans="1:5" ht="120.75" thickBot="1" x14ac:dyDescent="0.3">
      <c r="A28" s="97"/>
      <c r="B28" s="12" t="s">
        <v>45</v>
      </c>
      <c r="C28" s="12" t="s">
        <v>46</v>
      </c>
      <c r="D28" s="12" t="s">
        <v>47</v>
      </c>
      <c r="E28" s="12" t="s">
        <v>48</v>
      </c>
    </row>
    <row r="29" spans="1:5" ht="15.75" thickTop="1" x14ac:dyDescent="0.25">
      <c r="A29" s="6" t="s">
        <v>4</v>
      </c>
      <c r="B29" s="7">
        <v>1</v>
      </c>
      <c r="C29" s="7">
        <v>2</v>
      </c>
      <c r="D29" s="9">
        <v>1210000</v>
      </c>
      <c r="E29" s="9">
        <v>312514</v>
      </c>
    </row>
    <row r="30" spans="1:5" x14ac:dyDescent="0.25">
      <c r="A30" s="2" t="s">
        <v>6</v>
      </c>
      <c r="B30" s="3">
        <v>2</v>
      </c>
      <c r="C30" s="3">
        <v>18</v>
      </c>
      <c r="D30" s="4">
        <v>2667933</v>
      </c>
      <c r="E30" s="4">
        <v>2535151</v>
      </c>
    </row>
    <row r="31" spans="1:5" x14ac:dyDescent="0.25">
      <c r="A31" s="2" t="s">
        <v>7</v>
      </c>
      <c r="B31" s="3">
        <v>4</v>
      </c>
      <c r="C31" s="3">
        <v>13</v>
      </c>
      <c r="D31" s="4">
        <v>6305295</v>
      </c>
      <c r="E31" s="4">
        <v>1178053</v>
      </c>
    </row>
    <row r="32" spans="1:5" x14ac:dyDescent="0.25">
      <c r="A32" s="2" t="s">
        <v>8</v>
      </c>
      <c r="B32" s="2">
        <v>11</v>
      </c>
      <c r="C32" s="2">
        <v>27</v>
      </c>
      <c r="D32" s="5">
        <v>90414446</v>
      </c>
      <c r="E32" s="5">
        <v>94497858</v>
      </c>
    </row>
    <row r="33" spans="1:5" x14ac:dyDescent="0.25">
      <c r="A33" s="73" t="s">
        <v>83</v>
      </c>
      <c r="B33" s="2">
        <v>8</v>
      </c>
      <c r="C33" s="2">
        <v>19</v>
      </c>
      <c r="D33" s="5">
        <v>10843914</v>
      </c>
      <c r="E33" s="5">
        <v>4462459</v>
      </c>
    </row>
    <row r="34" spans="1:5" x14ac:dyDescent="0.25">
      <c r="A34" s="73" t="s">
        <v>97</v>
      </c>
      <c r="B34" s="2">
        <f>'I. Pavisam_2021_kopā_tab'!B10</f>
        <v>18</v>
      </c>
      <c r="C34" s="2">
        <f>'I. Pavisam_2021_kopā_tab'!C10</f>
        <v>18</v>
      </c>
      <c r="D34" s="5">
        <f>'I. Pavisam_2021_kopā_tab'!E10</f>
        <v>25855926</v>
      </c>
      <c r="E34" s="5">
        <f>'I. Pavisam_2021_kopā_tab'!F10</f>
        <v>2763481</v>
      </c>
    </row>
    <row r="35" spans="1:5" x14ac:dyDescent="0.25">
      <c r="A35" s="73" t="s">
        <v>119</v>
      </c>
      <c r="B35" s="2">
        <f>'I. Pavisam_2021_kopā_tab'!B11</f>
        <v>10</v>
      </c>
      <c r="C35" s="2">
        <f>'I. Pavisam_2021_kopā_tab'!C11</f>
        <v>29</v>
      </c>
      <c r="D35" s="5">
        <f>'I. Pavisam_2021_kopā_tab'!E11</f>
        <v>82393880</v>
      </c>
      <c r="E35" s="5">
        <f>'I. Pavisam_2021_kopā_tab'!F11</f>
        <v>12830247</v>
      </c>
    </row>
    <row r="36" spans="1:5" x14ac:dyDescent="0.25">
      <c r="A36" s="73" t="s">
        <v>134</v>
      </c>
      <c r="B36" s="2">
        <v>11</v>
      </c>
      <c r="C36" s="2">
        <v>31</v>
      </c>
      <c r="D36" s="5">
        <v>32746854</v>
      </c>
      <c r="E36" s="5">
        <v>22815310</v>
      </c>
    </row>
    <row r="37" spans="1:5" x14ac:dyDescent="0.25">
      <c r="A37" s="73" t="s">
        <v>208</v>
      </c>
      <c r="B37" s="2">
        <v>12</v>
      </c>
      <c r="C37" s="2">
        <v>61</v>
      </c>
      <c r="D37" s="5">
        <v>90023803</v>
      </c>
      <c r="E37" s="5">
        <v>13753907</v>
      </c>
    </row>
    <row r="38" spans="1:5" x14ac:dyDescent="0.25">
      <c r="A38" s="73" t="s">
        <v>219</v>
      </c>
      <c r="B38" s="2">
        <v>22</v>
      </c>
      <c r="C38" s="2">
        <v>48</v>
      </c>
      <c r="D38" s="5">
        <v>72945094</v>
      </c>
      <c r="E38" s="5">
        <v>7115295</v>
      </c>
    </row>
  </sheetData>
  <conditionalFormatting sqref="B29:B38">
    <cfRule type="iconSet" priority="7">
      <iconSet iconSet="3Arrows">
        <cfvo type="percent" val="0"/>
        <cfvo type="percent" val="33"/>
        <cfvo type="percent" val="67"/>
      </iconSet>
    </cfRule>
    <cfRule type="dataBar" priority="8">
      <dataBar>
        <cfvo type="min"/>
        <cfvo type="max"/>
        <color rgb="FF638EC6"/>
      </dataBar>
      <extLst>
        <ext xmlns:x14="http://schemas.microsoft.com/office/spreadsheetml/2009/9/main" uri="{B025F937-C7B1-47D3-B67F-A62EFF666E3E}">
          <x14:id>{8A9307B3-66CA-4D0B-9A4B-0F2E43BD3AE5}</x14:id>
        </ext>
      </extLst>
    </cfRule>
  </conditionalFormatting>
  <conditionalFormatting sqref="C29:C38">
    <cfRule type="dataBar" priority="5">
      <dataBar>
        <cfvo type="min"/>
        <cfvo type="max"/>
        <color rgb="FF638EC6"/>
      </dataBar>
      <extLst>
        <ext xmlns:x14="http://schemas.microsoft.com/office/spreadsheetml/2009/9/main" uri="{B025F937-C7B1-47D3-B67F-A62EFF666E3E}">
          <x14:id>{4AD9ED96-3054-449B-9B26-72324E4430B2}</x14:id>
        </ext>
      </extLst>
    </cfRule>
    <cfRule type="iconSet" priority="6">
      <iconSet iconSet="3Arrows">
        <cfvo type="percent" val="0"/>
        <cfvo type="percent" val="33"/>
        <cfvo type="percent" val="67"/>
      </iconSet>
    </cfRule>
  </conditionalFormatting>
  <conditionalFormatting sqref="D29:D38">
    <cfRule type="dataBar" priority="3">
      <dataBar>
        <cfvo type="min"/>
        <cfvo type="max"/>
        <color rgb="FF638EC6"/>
      </dataBar>
      <extLst>
        <ext xmlns:x14="http://schemas.microsoft.com/office/spreadsheetml/2009/9/main" uri="{B025F937-C7B1-47D3-B67F-A62EFF666E3E}">
          <x14:id>{DC10FACD-AF07-4B6A-81C4-78994B5715E0}</x14:id>
        </ext>
      </extLst>
    </cfRule>
    <cfRule type="iconSet" priority="4">
      <iconSet iconSet="3Arrows">
        <cfvo type="percent" val="0"/>
        <cfvo type="percent" val="33"/>
        <cfvo type="percent" val="67"/>
      </iconSet>
    </cfRule>
  </conditionalFormatting>
  <conditionalFormatting sqref="E29:E38">
    <cfRule type="dataBar" priority="1">
      <dataBar>
        <cfvo type="min"/>
        <cfvo type="max"/>
        <color rgb="FF638EC6"/>
      </dataBar>
      <extLst>
        <ext xmlns:x14="http://schemas.microsoft.com/office/spreadsheetml/2009/9/main" uri="{B025F937-C7B1-47D3-B67F-A62EFF666E3E}">
          <x14:id>{C5778BF2-C7A1-40D1-A165-DC3BB0D2C29F}</x14:id>
        </ext>
      </extLst>
    </cfRule>
    <cfRule type="iconSet" priority="2">
      <iconSet iconSet="3Arrows">
        <cfvo type="percent" val="0"/>
        <cfvo type="percent" val="33"/>
        <cfvo type="percent" val="67"/>
      </iconSe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8A9307B3-66CA-4D0B-9A4B-0F2E43BD3AE5}">
            <x14:dataBar minLength="0" maxLength="100" gradient="0">
              <x14:cfvo type="autoMin"/>
              <x14:cfvo type="autoMax"/>
              <x14:negativeFillColor rgb="FFFF0000"/>
              <x14:axisColor rgb="FF000000"/>
            </x14:dataBar>
          </x14:cfRule>
          <xm:sqref>B29:B38</xm:sqref>
        </x14:conditionalFormatting>
        <x14:conditionalFormatting xmlns:xm="http://schemas.microsoft.com/office/excel/2006/main">
          <x14:cfRule type="dataBar" id="{4AD9ED96-3054-449B-9B26-72324E4430B2}">
            <x14:dataBar minLength="0" maxLength="100" gradient="0">
              <x14:cfvo type="autoMin"/>
              <x14:cfvo type="autoMax"/>
              <x14:negativeFillColor rgb="FFFF0000"/>
              <x14:axisColor rgb="FF000000"/>
            </x14:dataBar>
          </x14:cfRule>
          <xm:sqref>C29:C38</xm:sqref>
        </x14:conditionalFormatting>
        <x14:conditionalFormatting xmlns:xm="http://schemas.microsoft.com/office/excel/2006/main">
          <x14:cfRule type="dataBar" id="{DC10FACD-AF07-4B6A-81C4-78994B5715E0}">
            <x14:dataBar minLength="0" maxLength="100" gradient="0">
              <x14:cfvo type="autoMin"/>
              <x14:cfvo type="autoMax"/>
              <x14:negativeFillColor rgb="FFFF0000"/>
              <x14:axisColor rgb="FF000000"/>
            </x14:dataBar>
          </x14:cfRule>
          <xm:sqref>D29:D38</xm:sqref>
        </x14:conditionalFormatting>
        <x14:conditionalFormatting xmlns:xm="http://schemas.microsoft.com/office/excel/2006/main">
          <x14:cfRule type="dataBar" id="{C5778BF2-C7A1-40D1-A165-DC3BB0D2C29F}">
            <x14:dataBar minLength="0" maxLength="100" gradient="0">
              <x14:cfvo type="autoMin"/>
              <x14:cfvo type="autoMax"/>
              <x14:negativeFillColor rgb="FFFF0000"/>
              <x14:axisColor rgb="FF000000"/>
            </x14:dataBar>
          </x14:cfRule>
          <xm:sqref>E29:E38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4"/>
  <sheetViews>
    <sheetView workbookViewId="0">
      <selection activeCell="K24" sqref="K24"/>
    </sheetView>
  </sheetViews>
  <sheetFormatPr defaultRowHeight="15" x14ac:dyDescent="0.25"/>
  <cols>
    <col min="2" max="2" width="9.85546875" customWidth="1"/>
    <col min="3" max="3" width="10.140625" customWidth="1"/>
    <col min="4" max="4" width="6.5703125" customWidth="1"/>
    <col min="5" max="6" width="9.85546875" bestFit="1" customWidth="1"/>
    <col min="7" max="7" width="10.85546875" bestFit="1" customWidth="1"/>
  </cols>
  <sheetData>
    <row r="1" spans="1:7" x14ac:dyDescent="0.25">
      <c r="A1" s="1" t="s">
        <v>203</v>
      </c>
    </row>
    <row r="3" spans="1:7" ht="30.75" customHeight="1" x14ac:dyDescent="0.25">
      <c r="A3" s="258"/>
      <c r="B3" s="255" t="s">
        <v>0</v>
      </c>
      <c r="C3" s="256"/>
      <c r="D3" s="257"/>
      <c r="E3" s="260" t="s">
        <v>77</v>
      </c>
      <c r="F3" s="261"/>
      <c r="G3" s="262"/>
    </row>
    <row r="4" spans="1:7" ht="45.75" thickBot="1" x14ac:dyDescent="0.3">
      <c r="A4" s="259"/>
      <c r="B4" s="12" t="s">
        <v>1</v>
      </c>
      <c r="C4" s="12" t="s">
        <v>2</v>
      </c>
      <c r="D4" s="174" t="s">
        <v>3</v>
      </c>
      <c r="E4" s="12" t="s">
        <v>1</v>
      </c>
      <c r="F4" s="12" t="s">
        <v>2</v>
      </c>
      <c r="G4" s="174" t="s">
        <v>3</v>
      </c>
    </row>
    <row r="5" spans="1:7" ht="15.75" thickTop="1" x14ac:dyDescent="0.25">
      <c r="A5" s="6" t="s">
        <v>4</v>
      </c>
      <c r="B5" s="7">
        <v>0</v>
      </c>
      <c r="C5" s="7">
        <v>0</v>
      </c>
      <c r="D5" s="175">
        <f>SUM(B5:C5)</f>
        <v>0</v>
      </c>
      <c r="E5" s="9">
        <v>0</v>
      </c>
      <c r="F5" s="7">
        <v>0</v>
      </c>
      <c r="G5" s="178">
        <f>SUM(E5:F5)</f>
        <v>0</v>
      </c>
    </row>
    <row r="6" spans="1:7" x14ac:dyDescent="0.25">
      <c r="A6" s="2" t="s">
        <v>6</v>
      </c>
      <c r="B6" s="3">
        <v>1</v>
      </c>
      <c r="C6" s="3">
        <v>11</v>
      </c>
      <c r="D6" s="176">
        <f>SUM(B6:C6)</f>
        <v>12</v>
      </c>
      <c r="E6" s="4">
        <v>865373</v>
      </c>
      <c r="F6" s="4">
        <v>1565587</v>
      </c>
      <c r="G6" s="179">
        <f>SUM(E6:F6)</f>
        <v>2430960</v>
      </c>
    </row>
    <row r="7" spans="1:7" x14ac:dyDescent="0.25">
      <c r="A7" s="2" t="s">
        <v>7</v>
      </c>
      <c r="B7" s="3">
        <v>1</v>
      </c>
      <c r="C7" s="3">
        <v>6</v>
      </c>
      <c r="D7" s="176">
        <f>SUM(B7:C7)</f>
        <v>7</v>
      </c>
      <c r="E7" s="4">
        <v>1107895</v>
      </c>
      <c r="F7" s="4">
        <v>202753</v>
      </c>
      <c r="G7" s="179">
        <f>SUM(E7:F7)</f>
        <v>1310648</v>
      </c>
    </row>
    <row r="8" spans="1:7" x14ac:dyDescent="0.25">
      <c r="A8" s="2" t="s">
        <v>8</v>
      </c>
      <c r="B8" s="2">
        <v>3</v>
      </c>
      <c r="C8" s="2">
        <v>7</v>
      </c>
      <c r="D8" s="158">
        <f>SUM(B8:C8)</f>
        <v>10</v>
      </c>
      <c r="E8" s="5">
        <v>14310937</v>
      </c>
      <c r="F8" s="5">
        <v>16110457</v>
      </c>
      <c r="G8" s="177">
        <f>SUM(E8:F8)</f>
        <v>30421394</v>
      </c>
    </row>
    <row r="9" spans="1:7" x14ac:dyDescent="0.25">
      <c r="A9" s="73" t="s">
        <v>83</v>
      </c>
      <c r="B9" s="2">
        <v>2</v>
      </c>
      <c r="C9" s="2">
        <v>9</v>
      </c>
      <c r="D9" s="158">
        <f>C9+B9</f>
        <v>11</v>
      </c>
      <c r="E9" s="5">
        <v>439664</v>
      </c>
      <c r="F9" s="5">
        <v>3059919</v>
      </c>
      <c r="G9" s="177">
        <f>F9+E9</f>
        <v>3499583</v>
      </c>
    </row>
    <row r="10" spans="1:7" x14ac:dyDescent="0.25">
      <c r="A10" s="73" t="s">
        <v>97</v>
      </c>
      <c r="B10" s="2">
        <v>3</v>
      </c>
      <c r="C10" s="2">
        <f>1+1+1+1+1+1+4</f>
        <v>10</v>
      </c>
      <c r="D10" s="158">
        <f>B10+C10</f>
        <v>13</v>
      </c>
      <c r="E10" s="5">
        <v>1133167</v>
      </c>
      <c r="F10" s="5">
        <f>977476+164474+45836+32780+10350+29500+94974</f>
        <v>1355390</v>
      </c>
      <c r="G10" s="177">
        <f>E10+F10</f>
        <v>2488557</v>
      </c>
    </row>
    <row r="11" spans="1:7" x14ac:dyDescent="0.25">
      <c r="A11" s="73" t="s">
        <v>119</v>
      </c>
      <c r="B11" s="2">
        <v>2</v>
      </c>
      <c r="C11" s="2">
        <v>20</v>
      </c>
      <c r="D11" s="158">
        <f>B11+C11</f>
        <v>22</v>
      </c>
      <c r="E11" s="5">
        <v>51971873</v>
      </c>
      <c r="F11" s="5">
        <v>11527478</v>
      </c>
      <c r="G11" s="177">
        <f>E11+F11</f>
        <v>63499351</v>
      </c>
    </row>
    <row r="12" spans="1:7" x14ac:dyDescent="0.25">
      <c r="A12" s="73" t="s">
        <v>134</v>
      </c>
      <c r="B12" s="2">
        <v>3</v>
      </c>
      <c r="C12" s="2">
        <v>24</v>
      </c>
      <c r="D12" s="158">
        <f>B12+C12</f>
        <v>27</v>
      </c>
      <c r="E12" s="5">
        <v>7344650</v>
      </c>
      <c r="F12" s="5">
        <v>21401693</v>
      </c>
      <c r="G12" s="177">
        <f>E12+F12</f>
        <v>28746343</v>
      </c>
    </row>
    <row r="13" spans="1:7" x14ac:dyDescent="0.25">
      <c r="A13" s="73" t="s">
        <v>208</v>
      </c>
      <c r="B13" s="2">
        <v>2</v>
      </c>
      <c r="C13" s="2">
        <v>49</v>
      </c>
      <c r="D13" s="158">
        <f>B13+C13</f>
        <v>51</v>
      </c>
      <c r="E13" s="5">
        <v>16651628</v>
      </c>
      <c r="F13" s="5">
        <v>11584345</v>
      </c>
      <c r="G13" s="177">
        <f>E13+F13</f>
        <v>28235973</v>
      </c>
    </row>
    <row r="14" spans="1:7" x14ac:dyDescent="0.25">
      <c r="A14" s="73" t="s">
        <v>219</v>
      </c>
      <c r="B14" s="2">
        <v>6</v>
      </c>
      <c r="C14" s="2">
        <v>47</v>
      </c>
      <c r="D14" s="158">
        <f>B14+C14</f>
        <v>53</v>
      </c>
      <c r="E14" s="5">
        <v>35274869</v>
      </c>
      <c r="F14" s="5">
        <v>6815295</v>
      </c>
      <c r="G14" s="177">
        <f>E14+F14</f>
        <v>42090164</v>
      </c>
    </row>
  </sheetData>
  <mergeCells count="3">
    <mergeCell ref="A3:A4"/>
    <mergeCell ref="B3:D3"/>
    <mergeCell ref="E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4:I76"/>
  <sheetViews>
    <sheetView topLeftCell="A43" zoomScaleNormal="100" workbookViewId="0">
      <selection activeCell="G75" sqref="G75"/>
    </sheetView>
  </sheetViews>
  <sheetFormatPr defaultRowHeight="15" x14ac:dyDescent="0.25"/>
  <cols>
    <col min="1" max="1" width="9.140625" customWidth="1"/>
    <col min="2" max="2" width="9.85546875" customWidth="1"/>
    <col min="3" max="3" width="10.140625" customWidth="1"/>
    <col min="4" max="4" width="11.140625" customWidth="1"/>
    <col min="5" max="7" width="11.140625" bestFit="1" customWidth="1"/>
    <col min="8" max="8" width="12.5703125" customWidth="1"/>
    <col min="9" max="9" width="11.140625" bestFit="1" customWidth="1"/>
  </cols>
  <sheetData>
    <row r="34" spans="1:9" x14ac:dyDescent="0.25">
      <c r="A34" s="181" t="s">
        <v>195</v>
      </c>
    </row>
    <row r="36" spans="1:9" ht="31.5" customHeight="1" x14ac:dyDescent="0.25">
      <c r="A36" s="258"/>
      <c r="B36" s="255" t="s">
        <v>0</v>
      </c>
      <c r="C36" s="256"/>
      <c r="D36" s="257"/>
      <c r="E36" s="260" t="s">
        <v>40</v>
      </c>
      <c r="F36" s="261"/>
      <c r="G36" s="262"/>
      <c r="H36" s="263" t="s">
        <v>49</v>
      </c>
      <c r="I36" s="263"/>
    </row>
    <row r="37" spans="1:9" ht="45.75" thickBot="1" x14ac:dyDescent="0.3">
      <c r="A37" s="259"/>
      <c r="B37" s="12" t="s">
        <v>1</v>
      </c>
      <c r="C37" s="12" t="s">
        <v>2</v>
      </c>
      <c r="D37" s="174" t="s">
        <v>3</v>
      </c>
      <c r="E37" s="12" t="s">
        <v>1</v>
      </c>
      <c r="F37" s="12" t="s">
        <v>2</v>
      </c>
      <c r="G37" s="174" t="s">
        <v>3</v>
      </c>
      <c r="H37" s="44" t="s">
        <v>1</v>
      </c>
      <c r="I37" s="44" t="s">
        <v>2</v>
      </c>
    </row>
    <row r="38" spans="1:9" ht="15.75" thickTop="1" x14ac:dyDescent="0.25">
      <c r="A38" s="6" t="s">
        <v>4</v>
      </c>
      <c r="B38" s="7">
        <v>1</v>
      </c>
      <c r="C38" s="7">
        <v>2</v>
      </c>
      <c r="D38" s="175">
        <f>SUM(B38:C38)</f>
        <v>3</v>
      </c>
      <c r="E38" s="9">
        <v>1210000</v>
      </c>
      <c r="F38" s="9">
        <v>312514</v>
      </c>
      <c r="G38" s="178">
        <f>E38+F38</f>
        <v>1522514</v>
      </c>
      <c r="H38" s="17">
        <f t="shared" ref="H38:I41" si="0">E38/B38</f>
        <v>1210000</v>
      </c>
      <c r="I38" s="17">
        <f t="shared" si="0"/>
        <v>156257</v>
      </c>
    </row>
    <row r="39" spans="1:9" x14ac:dyDescent="0.25">
      <c r="A39" s="2" t="s">
        <v>6</v>
      </c>
      <c r="B39" s="3">
        <v>2</v>
      </c>
      <c r="C39" s="3">
        <v>18</v>
      </c>
      <c r="D39" s="176">
        <f>B39+C39</f>
        <v>20</v>
      </c>
      <c r="E39" s="4">
        <v>2667933</v>
      </c>
      <c r="F39" s="4">
        <v>2535151</v>
      </c>
      <c r="G39" s="179">
        <f>E39+F39</f>
        <v>5203084</v>
      </c>
      <c r="H39" s="5">
        <f t="shared" si="0"/>
        <v>1333966.5</v>
      </c>
      <c r="I39" s="5">
        <f t="shared" si="0"/>
        <v>140841.72222222222</v>
      </c>
    </row>
    <row r="40" spans="1:9" x14ac:dyDescent="0.25">
      <c r="A40" s="2" t="s">
        <v>7</v>
      </c>
      <c r="B40" s="3">
        <v>4</v>
      </c>
      <c r="C40" s="3">
        <v>13</v>
      </c>
      <c r="D40" s="176">
        <f>B40+C40</f>
        <v>17</v>
      </c>
      <c r="E40" s="4">
        <v>6305295</v>
      </c>
      <c r="F40" s="4">
        <v>1178053</v>
      </c>
      <c r="G40" s="179">
        <f>E40+F40</f>
        <v>7483348</v>
      </c>
      <c r="H40" s="5">
        <f t="shared" si="0"/>
        <v>1576323.75</v>
      </c>
      <c r="I40" s="5">
        <f t="shared" si="0"/>
        <v>90619.461538461532</v>
      </c>
    </row>
    <row r="41" spans="1:9" x14ac:dyDescent="0.25">
      <c r="A41" s="2" t="s">
        <v>8</v>
      </c>
      <c r="B41" s="2">
        <v>11</v>
      </c>
      <c r="C41" s="2">
        <v>27</v>
      </c>
      <c r="D41" s="158">
        <f>B41+C41</f>
        <v>38</v>
      </c>
      <c r="E41" s="5">
        <v>90414446</v>
      </c>
      <c r="F41" s="5">
        <v>94497858</v>
      </c>
      <c r="G41" s="177">
        <f>E41+F41</f>
        <v>184912304</v>
      </c>
      <c r="H41" s="5">
        <f>E41/B41</f>
        <v>8219495.0909090908</v>
      </c>
      <c r="I41" s="5">
        <f t="shared" si="0"/>
        <v>3499920.6666666665</v>
      </c>
    </row>
    <row r="42" spans="1:9" x14ac:dyDescent="0.25">
      <c r="A42" s="73" t="s">
        <v>83</v>
      </c>
      <c r="B42" s="2">
        <v>8</v>
      </c>
      <c r="C42" s="2">
        <v>19</v>
      </c>
      <c r="D42" s="158">
        <f>C42+B42</f>
        <v>27</v>
      </c>
      <c r="E42" s="5">
        <v>10843914</v>
      </c>
      <c r="F42" s="5">
        <v>4462459</v>
      </c>
      <c r="G42" s="177">
        <f>F42+E42</f>
        <v>15306373</v>
      </c>
      <c r="H42" s="5">
        <f>E42/B42</f>
        <v>1355489.25</v>
      </c>
      <c r="I42" s="5">
        <f>F42/C42</f>
        <v>234866.26315789475</v>
      </c>
    </row>
    <row r="43" spans="1:9" x14ac:dyDescent="0.25">
      <c r="A43" s="73" t="s">
        <v>97</v>
      </c>
      <c r="B43" s="2">
        <v>18</v>
      </c>
      <c r="C43" s="2">
        <v>18</v>
      </c>
      <c r="D43" s="158">
        <v>36</v>
      </c>
      <c r="E43" s="5">
        <v>25855926</v>
      </c>
      <c r="F43" s="5">
        <v>2763481</v>
      </c>
      <c r="G43" s="177">
        <v>28619407</v>
      </c>
      <c r="H43" s="5">
        <f>E43/B43</f>
        <v>1436440.3333333333</v>
      </c>
      <c r="I43" s="5">
        <f>F43/C43</f>
        <v>153526.72222222222</v>
      </c>
    </row>
    <row r="44" spans="1:9" x14ac:dyDescent="0.25">
      <c r="A44" s="73" t="s">
        <v>119</v>
      </c>
      <c r="B44" s="2">
        <f>'I. Pavisam_2021_kopā_tab'!B11</f>
        <v>10</v>
      </c>
      <c r="C44" s="2">
        <f>'I. Pavisam_2021_kopā_tab'!C11</f>
        <v>29</v>
      </c>
      <c r="D44" s="158">
        <f>B44+C44</f>
        <v>39</v>
      </c>
      <c r="E44" s="5">
        <f>'I. Pavisam_2021_kopā_tab'!E11</f>
        <v>82393880</v>
      </c>
      <c r="F44" s="5">
        <f>'I. Pavisam_2021_kopā_tab'!F11</f>
        <v>12830247</v>
      </c>
      <c r="G44" s="177">
        <f>E44+F44</f>
        <v>95224127</v>
      </c>
      <c r="H44" s="5">
        <f>E44/B44</f>
        <v>8239388</v>
      </c>
      <c r="I44" s="5">
        <f>F44/C44</f>
        <v>442422.31034482759</v>
      </c>
    </row>
    <row r="45" spans="1:9" x14ac:dyDescent="0.25">
      <c r="A45" s="73" t="s">
        <v>134</v>
      </c>
      <c r="B45" s="2">
        <v>11</v>
      </c>
      <c r="C45" s="2">
        <v>31</v>
      </c>
      <c r="D45" s="158">
        <v>42</v>
      </c>
      <c r="E45" s="5">
        <v>32746854</v>
      </c>
      <c r="F45" s="5">
        <v>22815310</v>
      </c>
      <c r="G45" s="177">
        <v>55562164</v>
      </c>
      <c r="H45" s="5">
        <f>E45/B45</f>
        <v>2976986.7272727271</v>
      </c>
      <c r="I45" s="5">
        <f>F45/C45</f>
        <v>735977.74193548388</v>
      </c>
    </row>
    <row r="46" spans="1:9" x14ac:dyDescent="0.25">
      <c r="A46" s="73" t="s">
        <v>208</v>
      </c>
      <c r="B46" s="2">
        <f>'I. Pavisam_2021_kopā_tab'!B13</f>
        <v>12</v>
      </c>
      <c r="C46" s="2">
        <f>'I. Pavisam_2021_kopā_tab'!C13</f>
        <v>61</v>
      </c>
      <c r="D46" s="158">
        <f>B46+C46</f>
        <v>73</v>
      </c>
      <c r="E46" s="5">
        <f>'I. Pavisam_2021_kopā_tab'!E13</f>
        <v>90023803</v>
      </c>
      <c r="F46" s="5">
        <f>'I. Pavisam_2021_kopā_tab'!F13</f>
        <v>13753907</v>
      </c>
      <c r="G46" s="177">
        <f>E46+F46</f>
        <v>103777710</v>
      </c>
      <c r="H46" s="5">
        <v>7501984</v>
      </c>
      <c r="I46" s="5">
        <v>141793</v>
      </c>
    </row>
    <row r="47" spans="1:9" x14ac:dyDescent="0.25">
      <c r="A47" s="73" t="s">
        <v>219</v>
      </c>
      <c r="B47" s="2">
        <v>22</v>
      </c>
      <c r="C47" s="2">
        <v>48</v>
      </c>
      <c r="D47" s="158">
        <f>B47+C47</f>
        <v>70</v>
      </c>
      <c r="E47" s="5">
        <v>72945094</v>
      </c>
      <c r="F47" s="5">
        <v>7115295</v>
      </c>
      <c r="G47" s="177">
        <f>E47+F47</f>
        <v>80060389</v>
      </c>
      <c r="H47" s="5">
        <f>E47/B47</f>
        <v>3315686.0909090908</v>
      </c>
      <c r="I47" s="5">
        <f>F47/C47</f>
        <v>148235.3125</v>
      </c>
    </row>
    <row r="49" spans="1:8" ht="48.95" customHeight="1" x14ac:dyDescent="0.25">
      <c r="A49" s="264" t="s">
        <v>268</v>
      </c>
      <c r="B49" s="264"/>
      <c r="C49" s="264"/>
      <c r="E49" s="264" t="s">
        <v>194</v>
      </c>
      <c r="F49" s="264"/>
      <c r="G49" s="264"/>
      <c r="H49" s="182"/>
    </row>
    <row r="51" spans="1:8" ht="45.75" thickBot="1" x14ac:dyDescent="0.3">
      <c r="A51" s="203" t="s">
        <v>39</v>
      </c>
      <c r="B51" s="12" t="s">
        <v>1</v>
      </c>
      <c r="C51" s="12" t="s">
        <v>2</v>
      </c>
      <c r="E51" s="203" t="s">
        <v>39</v>
      </c>
      <c r="F51" s="204" t="s">
        <v>1</v>
      </c>
      <c r="G51" s="12" t="s">
        <v>2</v>
      </c>
    </row>
    <row r="52" spans="1:8" ht="15.75" thickTop="1" x14ac:dyDescent="0.25">
      <c r="A52" s="6" t="s">
        <v>4</v>
      </c>
      <c r="B52" s="210">
        <f t="shared" ref="B52:B60" si="1">B38/D38</f>
        <v>0.33333333333333331</v>
      </c>
      <c r="C52" s="50">
        <f t="shared" ref="C52:C60" si="2">C38/D38</f>
        <v>0.66666666666666663</v>
      </c>
      <c r="D52" s="37"/>
      <c r="E52" s="6" t="s">
        <v>4</v>
      </c>
      <c r="F52" s="205">
        <f t="shared" ref="F52:F60" si="3">E38/G38</f>
        <v>0.79473817646340195</v>
      </c>
      <c r="G52" s="189">
        <f t="shared" ref="G52:G60" si="4">F38/G38</f>
        <v>0.20526182353659803</v>
      </c>
      <c r="H52" s="37"/>
    </row>
    <row r="53" spans="1:8" x14ac:dyDescent="0.25">
      <c r="A53" s="2" t="s">
        <v>6</v>
      </c>
      <c r="B53" s="143">
        <f t="shared" si="1"/>
        <v>0.1</v>
      </c>
      <c r="C53" s="49">
        <f t="shared" si="2"/>
        <v>0.9</v>
      </c>
      <c r="D53" s="37"/>
      <c r="E53" s="2" t="s">
        <v>6</v>
      </c>
      <c r="F53" s="206">
        <f t="shared" si="3"/>
        <v>0.51275993237856621</v>
      </c>
      <c r="G53" s="190">
        <f t="shared" si="4"/>
        <v>0.48724006762143374</v>
      </c>
      <c r="H53" s="37"/>
    </row>
    <row r="54" spans="1:8" x14ac:dyDescent="0.25">
      <c r="A54" s="2" t="s">
        <v>7</v>
      </c>
      <c r="B54" s="143">
        <f t="shared" si="1"/>
        <v>0.23529411764705882</v>
      </c>
      <c r="C54" s="49">
        <f t="shared" si="2"/>
        <v>0.76470588235294112</v>
      </c>
      <c r="D54" s="37"/>
      <c r="E54" s="2" t="s">
        <v>7</v>
      </c>
      <c r="F54" s="206">
        <f t="shared" si="3"/>
        <v>0.84257674506116775</v>
      </c>
      <c r="G54" s="190">
        <f t="shared" si="4"/>
        <v>0.15742325493883219</v>
      </c>
      <c r="H54" s="37"/>
    </row>
    <row r="55" spans="1:8" x14ac:dyDescent="0.25">
      <c r="A55" s="2" t="s">
        <v>8</v>
      </c>
      <c r="B55" s="143">
        <f t="shared" si="1"/>
        <v>0.28947368421052633</v>
      </c>
      <c r="C55" s="49">
        <f t="shared" si="2"/>
        <v>0.71052631578947367</v>
      </c>
      <c r="D55" s="37"/>
      <c r="E55" s="2" t="s">
        <v>8</v>
      </c>
      <c r="F55" s="206">
        <f t="shared" si="3"/>
        <v>0.48895851733046386</v>
      </c>
      <c r="G55" s="190">
        <f t="shared" si="4"/>
        <v>0.5110414826695362</v>
      </c>
      <c r="H55" s="37"/>
    </row>
    <row r="56" spans="1:8" x14ac:dyDescent="0.25">
      <c r="A56" s="119" t="s">
        <v>83</v>
      </c>
      <c r="B56" s="191">
        <f t="shared" si="1"/>
        <v>0.29629629629629628</v>
      </c>
      <c r="C56" s="120">
        <f t="shared" si="2"/>
        <v>0.70370370370370372</v>
      </c>
      <c r="D56" s="37"/>
      <c r="E56" s="73" t="s">
        <v>83</v>
      </c>
      <c r="F56" s="207">
        <f t="shared" si="3"/>
        <v>0.70845745102383173</v>
      </c>
      <c r="G56" s="120">
        <f t="shared" si="4"/>
        <v>0.29154254897616827</v>
      </c>
      <c r="H56" s="37"/>
    </row>
    <row r="57" spans="1:8" x14ac:dyDescent="0.25">
      <c r="A57" s="73" t="s">
        <v>97</v>
      </c>
      <c r="B57" s="143">
        <f t="shared" si="1"/>
        <v>0.5</v>
      </c>
      <c r="C57" s="49">
        <f t="shared" si="2"/>
        <v>0.5</v>
      </c>
      <c r="D57" s="70"/>
      <c r="E57" s="73" t="s">
        <v>97</v>
      </c>
      <c r="F57" s="208">
        <f t="shared" si="3"/>
        <v>0.90344031237264977</v>
      </c>
      <c r="G57" s="49">
        <f t="shared" si="4"/>
        <v>9.6559687627350205E-2</v>
      </c>
      <c r="H57" s="37"/>
    </row>
    <row r="58" spans="1:8" x14ac:dyDescent="0.25">
      <c r="A58" s="73" t="s">
        <v>119</v>
      </c>
      <c r="B58" s="49">
        <f t="shared" si="1"/>
        <v>0.25641025641025639</v>
      </c>
      <c r="C58" s="49">
        <f t="shared" si="2"/>
        <v>0.74358974358974361</v>
      </c>
      <c r="D58" s="131"/>
      <c r="E58" s="73" t="s">
        <v>119</v>
      </c>
      <c r="F58" s="209">
        <f t="shared" si="3"/>
        <v>0.86526264504372929</v>
      </c>
      <c r="G58" s="49">
        <f t="shared" si="4"/>
        <v>0.13473735495627071</v>
      </c>
      <c r="H58" s="131"/>
    </row>
    <row r="59" spans="1:8" x14ac:dyDescent="0.25">
      <c r="A59" s="73" t="s">
        <v>134</v>
      </c>
      <c r="B59" s="49">
        <f t="shared" si="1"/>
        <v>0.26190476190476192</v>
      </c>
      <c r="C59" s="49">
        <f t="shared" si="2"/>
        <v>0.73809523809523814</v>
      </c>
      <c r="D59" s="131"/>
      <c r="E59" s="73" t="s">
        <v>134</v>
      </c>
      <c r="F59" s="209">
        <f t="shared" si="3"/>
        <v>0.58937326487139696</v>
      </c>
      <c r="G59" s="49">
        <f t="shared" si="4"/>
        <v>0.41062673512860298</v>
      </c>
      <c r="H59" s="131"/>
    </row>
    <row r="60" spans="1:8" x14ac:dyDescent="0.25">
      <c r="A60" s="73" t="s">
        <v>208</v>
      </c>
      <c r="B60" s="49">
        <f t="shared" si="1"/>
        <v>0.16438356164383561</v>
      </c>
      <c r="C60" s="49">
        <f t="shared" si="2"/>
        <v>0.83561643835616439</v>
      </c>
      <c r="D60" s="131"/>
      <c r="E60" s="73" t="s">
        <v>208</v>
      </c>
      <c r="F60" s="209">
        <f t="shared" si="3"/>
        <v>0.8674676190099011</v>
      </c>
      <c r="G60" s="49">
        <f t="shared" si="4"/>
        <v>0.13253238099009892</v>
      </c>
      <c r="H60" s="131"/>
    </row>
    <row r="61" spans="1:8" x14ac:dyDescent="0.25">
      <c r="A61" s="73" t="s">
        <v>219</v>
      </c>
      <c r="B61" s="49">
        <f>B47/D47</f>
        <v>0.31428571428571428</v>
      </c>
      <c r="C61" s="49">
        <f>C47/D47</f>
        <v>0.68571428571428572</v>
      </c>
      <c r="D61" s="131"/>
      <c r="E61" s="73" t="s">
        <v>219</v>
      </c>
      <c r="F61" s="209">
        <f>E47/G47</f>
        <v>0.91112590022514128</v>
      </c>
      <c r="G61" s="49">
        <f>F47/G47</f>
        <v>8.8874099774858703E-2</v>
      </c>
      <c r="H61" s="131"/>
    </row>
    <row r="63" spans="1:8" x14ac:dyDescent="0.25">
      <c r="A63" s="181" t="s">
        <v>193</v>
      </c>
    </row>
    <row r="65" spans="1:5" ht="47.25" customHeight="1" x14ac:dyDescent="0.25">
      <c r="A65" s="265" t="s">
        <v>39</v>
      </c>
      <c r="B65" s="260" t="s">
        <v>40</v>
      </c>
      <c r="C65" s="262"/>
      <c r="D65" s="263" t="s">
        <v>209</v>
      </c>
      <c r="E65" s="263"/>
    </row>
    <row r="66" spans="1:5" ht="45.75" thickBot="1" x14ac:dyDescent="0.3">
      <c r="A66" s="266"/>
      <c r="B66" s="45" t="s">
        <v>1</v>
      </c>
      <c r="C66" s="45" t="s">
        <v>2</v>
      </c>
      <c r="D66" s="44" t="s">
        <v>1</v>
      </c>
      <c r="E66" s="44" t="s">
        <v>2</v>
      </c>
    </row>
    <row r="67" spans="1:5" ht="15.75" thickTop="1" x14ac:dyDescent="0.25">
      <c r="A67" s="38" t="s">
        <v>4</v>
      </c>
      <c r="B67" s="40">
        <v>0.79500000000000004</v>
      </c>
      <c r="C67" s="41">
        <v>0.20499999999999999</v>
      </c>
      <c r="D67" s="47">
        <v>1.21</v>
      </c>
      <c r="E67" s="47">
        <v>0.15625700000000001</v>
      </c>
    </row>
    <row r="68" spans="1:5" x14ac:dyDescent="0.25">
      <c r="A68" s="39" t="s">
        <v>6</v>
      </c>
      <c r="B68" s="42">
        <v>0.51300000000000001</v>
      </c>
      <c r="C68" s="43">
        <v>0.48699999999999999</v>
      </c>
      <c r="D68" s="48">
        <v>1.3339669999999999</v>
      </c>
      <c r="E68" s="48">
        <v>0.14084199999999999</v>
      </c>
    </row>
    <row r="69" spans="1:5" x14ac:dyDescent="0.25">
      <c r="A69" s="39" t="s">
        <v>7</v>
      </c>
      <c r="B69" s="42">
        <v>0.84299999999999997</v>
      </c>
      <c r="C69" s="43">
        <v>0.157</v>
      </c>
      <c r="D69" s="48">
        <v>1.5763240000000001</v>
      </c>
      <c r="E69" s="48">
        <v>9.0619000000000005E-2</v>
      </c>
    </row>
    <row r="70" spans="1:5" x14ac:dyDescent="0.25">
      <c r="A70" s="99" t="s">
        <v>8</v>
      </c>
      <c r="B70" s="42">
        <v>0.48899999999999999</v>
      </c>
      <c r="C70" s="43">
        <v>0.51100000000000001</v>
      </c>
      <c r="D70" s="100">
        <v>8.2194950000000002</v>
      </c>
      <c r="E70" s="100">
        <v>3.4999210000000001</v>
      </c>
    </row>
    <row r="71" spans="1:5" x14ac:dyDescent="0.25">
      <c r="A71" s="73" t="s">
        <v>83</v>
      </c>
      <c r="B71" s="49">
        <v>0.70799999999999996</v>
      </c>
      <c r="C71" s="49">
        <v>0.29199999999999998</v>
      </c>
      <c r="D71" s="2">
        <v>1.3</v>
      </c>
      <c r="E71" s="2">
        <v>0.2</v>
      </c>
    </row>
    <row r="72" spans="1:5" x14ac:dyDescent="0.25">
      <c r="A72" s="73" t="s">
        <v>97</v>
      </c>
      <c r="B72" s="49">
        <v>0.90300000000000002</v>
      </c>
      <c r="C72" s="49">
        <v>9.7000000000000003E-2</v>
      </c>
      <c r="D72" s="2">
        <v>1.4</v>
      </c>
      <c r="E72" s="2">
        <v>0.1</v>
      </c>
    </row>
    <row r="73" spans="1:5" x14ac:dyDescent="0.25">
      <c r="A73" s="73" t="s">
        <v>119</v>
      </c>
      <c r="B73" s="49">
        <f t="shared" ref="B73:C75" si="5">F58</f>
        <v>0.86526264504372929</v>
      </c>
      <c r="C73" s="49">
        <f t="shared" si="5"/>
        <v>0.13473735495627071</v>
      </c>
      <c r="D73" s="2">
        <v>8.1999999999999993</v>
      </c>
      <c r="E73" s="2">
        <v>0.4</v>
      </c>
    </row>
    <row r="74" spans="1:5" x14ac:dyDescent="0.25">
      <c r="A74" s="73" t="s">
        <v>134</v>
      </c>
      <c r="B74" s="49">
        <f t="shared" si="5"/>
        <v>0.58937326487139696</v>
      </c>
      <c r="C74" s="49">
        <f t="shared" si="5"/>
        <v>0.41062673512860298</v>
      </c>
      <c r="D74" s="2">
        <v>2.9</v>
      </c>
      <c r="E74" s="2">
        <v>0.7</v>
      </c>
    </row>
    <row r="75" spans="1:5" x14ac:dyDescent="0.25">
      <c r="A75" s="73" t="s">
        <v>208</v>
      </c>
      <c r="B75" s="49">
        <f t="shared" si="5"/>
        <v>0.8674676190099011</v>
      </c>
      <c r="C75" s="49">
        <f t="shared" si="5"/>
        <v>0.13253238099009892</v>
      </c>
      <c r="D75" s="2">
        <v>7.5</v>
      </c>
      <c r="E75" s="2">
        <v>0.1</v>
      </c>
    </row>
    <row r="76" spans="1:5" x14ac:dyDescent="0.25">
      <c r="A76" s="73" t="s">
        <v>219</v>
      </c>
      <c r="B76" s="49">
        <f>F61</f>
        <v>0.91112590022514128</v>
      </c>
      <c r="C76" s="49">
        <f>G61</f>
        <v>8.8874099774858703E-2</v>
      </c>
      <c r="D76" s="2">
        <v>3.3</v>
      </c>
      <c r="E76" s="2">
        <v>0.1</v>
      </c>
    </row>
  </sheetData>
  <mergeCells count="9">
    <mergeCell ref="A36:A37"/>
    <mergeCell ref="B36:D36"/>
    <mergeCell ref="E36:G36"/>
    <mergeCell ref="H36:I36"/>
    <mergeCell ref="D65:E65"/>
    <mergeCell ref="E49:G49"/>
    <mergeCell ref="A49:C49"/>
    <mergeCell ref="B65:C65"/>
    <mergeCell ref="A65:A66"/>
  </mergeCells>
  <conditionalFormatting sqref="H38:H46">
    <cfRule type="iconSet" priority="42">
      <iconSet iconSet="3Arrows">
        <cfvo type="percent" val="0"/>
        <cfvo type="percent" val="33"/>
        <cfvo type="percent" val="67"/>
      </iconSet>
    </cfRule>
  </conditionalFormatting>
  <conditionalFormatting sqref="I38:I46">
    <cfRule type="iconSet" priority="41">
      <iconSet iconSet="3Arrows">
        <cfvo type="percent" val="0"/>
        <cfvo type="percent" val="33"/>
        <cfvo type="percent" val="67"/>
      </iconSet>
    </cfRule>
  </conditionalFormatting>
  <conditionalFormatting sqref="C52:C60">
    <cfRule type="colorScale" priority="31">
      <colorScale>
        <cfvo type="min"/>
        <cfvo type="percentile" val="50"/>
        <cfvo type="max"/>
        <color rgb="FFF8696B"/>
        <color rgb="FFFCFCFF"/>
        <color rgb="FF63BE7B"/>
      </colorScale>
    </cfRule>
    <cfRule type="iconSet" priority="36">
      <iconSet iconSet="3Arrows">
        <cfvo type="percent" val="0"/>
        <cfvo type="percent" val="33"/>
        <cfvo type="percent" val="67"/>
      </iconSet>
    </cfRule>
    <cfRule type="top10" dxfId="4" priority="37" percent="1" rank="10"/>
  </conditionalFormatting>
  <conditionalFormatting sqref="B52:B60">
    <cfRule type="colorScale" priority="32">
      <colorScale>
        <cfvo type="min"/>
        <cfvo type="percentile" val="50"/>
        <cfvo type="max"/>
        <color rgb="FFF8696B"/>
        <color rgb="FFFCFCFF"/>
        <color rgb="FF63BE7B"/>
      </colorScale>
    </cfRule>
    <cfRule type="iconSet" priority="33">
      <iconSet iconSet="3Arrows">
        <cfvo type="percent" val="0"/>
        <cfvo type="percent" val="33"/>
        <cfvo type="percent" val="67"/>
      </iconSet>
    </cfRule>
    <cfRule type="top10" dxfId="3" priority="34" percent="1" rank="10"/>
  </conditionalFormatting>
  <conditionalFormatting sqref="F52:F60">
    <cfRule type="iconSet" priority="29">
      <iconSet iconSet="3Arrows">
        <cfvo type="percent" val="0"/>
        <cfvo type="percent" val="33"/>
        <cfvo type="percent" val="67"/>
      </iconSet>
    </cfRule>
    <cfRule type="colorScale" priority="30">
      <colorScale>
        <cfvo type="min"/>
        <cfvo type="percentile" val="50"/>
        <cfvo type="max"/>
        <color rgb="FFF8696B"/>
        <color rgb="FFFCFCFF"/>
        <color rgb="FF63BE7B"/>
      </colorScale>
    </cfRule>
  </conditionalFormatting>
  <conditionalFormatting sqref="G52:G60">
    <cfRule type="iconSet" priority="26">
      <iconSet iconSet="3Arrows">
        <cfvo type="percent" val="0"/>
        <cfvo type="percent" val="33"/>
        <cfvo type="percent" val="67"/>
      </iconSet>
    </cfRule>
    <cfRule type="colorScale" priority="27">
      <colorScale>
        <cfvo type="min"/>
        <cfvo type="percentile" val="50"/>
        <cfvo type="max"/>
        <color rgb="FFF8696B"/>
        <color rgb="FFFCFCFF"/>
        <color rgb="FF63BE7B"/>
      </colorScale>
    </cfRule>
    <cfRule type="top10" dxfId="2" priority="28" percent="1" rank="10"/>
  </conditionalFormatting>
  <conditionalFormatting sqref="D67:D76">
    <cfRule type="iconSet" priority="24">
      <iconSet iconSet="3Arrows">
        <cfvo type="percent" val="0"/>
        <cfvo type="percent" val="33"/>
        <cfvo type="percent" val="67"/>
      </iconSet>
    </cfRule>
  </conditionalFormatting>
  <conditionalFormatting sqref="E67:E76">
    <cfRule type="iconSet" priority="23">
      <iconSet iconSet="3Arrows">
        <cfvo type="percent" val="0"/>
        <cfvo type="percent" val="33"/>
        <cfvo type="percent" val="67"/>
      </iconSet>
    </cfRule>
  </conditionalFormatting>
  <conditionalFormatting sqref="B67:B75">
    <cfRule type="colorScale" priority="20">
      <colorScale>
        <cfvo type="min"/>
        <cfvo type="percentile" val="50"/>
        <cfvo type="max"/>
        <color rgb="FFF8696B"/>
        <color rgb="FFFCFCFF"/>
        <color rgb="FF63BE7B"/>
      </colorScale>
    </cfRule>
    <cfRule type="top10" dxfId="1" priority="21" percent="1" rank="10"/>
    <cfRule type="iconSet" priority="22">
      <iconSet iconSet="3Arrows">
        <cfvo type="percent" val="0"/>
        <cfvo type="percent" val="33"/>
        <cfvo type="percent" val="67"/>
      </iconSet>
    </cfRule>
  </conditionalFormatting>
  <conditionalFormatting sqref="C67:C75">
    <cfRule type="colorScale" priority="17">
      <colorScale>
        <cfvo type="min"/>
        <cfvo type="percentile" val="50"/>
        <cfvo type="max"/>
        <color rgb="FFF8696B"/>
        <color rgb="FFFCFCFF"/>
        <color rgb="FF63BE7B"/>
      </colorScale>
    </cfRule>
    <cfRule type="top10" dxfId="0" priority="18" percent="1" rank="10"/>
    <cfRule type="iconSet" priority="19">
      <iconSet iconSet="3Arrows">
        <cfvo type="percent" val="0"/>
        <cfvo type="percent" val="33"/>
        <cfvo type="percent" val="67"/>
      </iconSet>
    </cfRule>
  </conditionalFormatting>
  <conditionalFormatting sqref="H38:H47">
    <cfRule type="iconSet" priority="16">
      <iconSet iconSet="3Arrows">
        <cfvo type="percent" val="0"/>
        <cfvo type="percent" val="33"/>
        <cfvo type="percent" val="67"/>
      </iconSet>
    </cfRule>
  </conditionalFormatting>
  <conditionalFormatting sqref="I38:I47">
    <cfRule type="iconSet" priority="15">
      <iconSet iconSet="3Arrows">
        <cfvo type="percent" val="0"/>
        <cfvo type="percent" val="33"/>
        <cfvo type="percent" val="67"/>
      </iconSet>
    </cfRule>
  </conditionalFormatting>
  <conditionalFormatting sqref="B52:B61">
    <cfRule type="iconSet" priority="13">
      <iconSet iconSet="3Arrows">
        <cfvo type="percent" val="0"/>
        <cfvo type="percent" val="33"/>
        <cfvo type="percent" val="67"/>
      </iconSet>
    </cfRule>
    <cfRule type="colorScale" priority="14">
      <colorScale>
        <cfvo type="min"/>
        <cfvo type="percentile" val="50"/>
        <cfvo type="max"/>
        <color rgb="FFF8696B"/>
        <color rgb="FFFCFCFF"/>
        <color rgb="FF63BE7B"/>
      </colorScale>
    </cfRule>
  </conditionalFormatting>
  <conditionalFormatting sqref="C52:C61">
    <cfRule type="colorScale" priority="11">
      <colorScale>
        <cfvo type="min"/>
        <cfvo type="percentile" val="50"/>
        <cfvo type="max"/>
        <color rgb="FFF8696B"/>
        <color rgb="FFFCFCFF"/>
        <color rgb="FF63BE7B"/>
      </colorScale>
    </cfRule>
    <cfRule type="iconSet" priority="12">
      <iconSet iconSet="3Arrows">
        <cfvo type="percent" val="0"/>
        <cfvo type="percent" val="33"/>
        <cfvo type="percent" val="67"/>
      </iconSet>
    </cfRule>
  </conditionalFormatting>
  <conditionalFormatting sqref="F52:F61">
    <cfRule type="colorScale" priority="9">
      <colorScale>
        <cfvo type="min"/>
        <cfvo type="percentile" val="50"/>
        <cfvo type="max"/>
        <color rgb="FFF8696B"/>
        <color rgb="FFFCFCFF"/>
        <color rgb="FF63BE7B"/>
      </colorScale>
    </cfRule>
    <cfRule type="iconSet" priority="10">
      <iconSet iconSet="3Arrows">
        <cfvo type="percent" val="0"/>
        <cfvo type="percent" val="33"/>
        <cfvo type="percent" val="67"/>
      </iconSet>
    </cfRule>
  </conditionalFormatting>
  <conditionalFormatting sqref="G52:G61">
    <cfRule type="colorScale" priority="7">
      <colorScale>
        <cfvo type="min"/>
        <cfvo type="percentile" val="50"/>
        <cfvo type="max"/>
        <color rgb="FFF8696B"/>
        <color rgb="FFFCFCFF"/>
        <color rgb="FF63BE7B"/>
      </colorScale>
    </cfRule>
    <cfRule type="iconSet" priority="8">
      <iconSet iconSet="3Arrows">
        <cfvo type="percent" val="0"/>
        <cfvo type="percent" val="33"/>
        <cfvo type="percent" val="67"/>
      </iconSet>
    </cfRule>
  </conditionalFormatting>
  <conditionalFormatting sqref="B67:B76">
    <cfRule type="colorScale" priority="63">
      <colorScale>
        <cfvo type="min"/>
        <cfvo type="percentile" val="50"/>
        <cfvo type="max"/>
        <color rgb="FFF8696B"/>
        <color rgb="FFFCFCFF"/>
        <color rgb="FF63BE7B"/>
      </colorScale>
    </cfRule>
    <cfRule type="iconSet" priority="64">
      <iconSet iconSet="3Arrows">
        <cfvo type="percent" val="0"/>
        <cfvo type="percent" val="33"/>
        <cfvo type="percent" val="67"/>
      </iconSet>
    </cfRule>
  </conditionalFormatting>
  <conditionalFormatting sqref="C67:C76">
    <cfRule type="colorScale" priority="67">
      <colorScale>
        <cfvo type="min"/>
        <cfvo type="percentile" val="50"/>
        <cfvo type="max"/>
        <color rgb="FFF8696B"/>
        <color rgb="FFFCFCFF"/>
        <color rgb="FF63BE7B"/>
      </colorScale>
    </cfRule>
    <cfRule type="iconSet" priority="68">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
  <sheetViews>
    <sheetView workbookViewId="0">
      <selection activeCell="F30" sqref="F30"/>
    </sheetView>
  </sheetViews>
  <sheetFormatPr defaultRowHeight="15" x14ac:dyDescent="0.25"/>
  <cols>
    <col min="2" max="2" width="10.85546875" customWidth="1"/>
    <col min="3" max="3" width="10.5703125" customWidth="1"/>
    <col min="5" max="5" width="11.42578125" bestFit="1" customWidth="1"/>
    <col min="6" max="6" width="10.42578125" bestFit="1" customWidth="1"/>
    <col min="7" max="7" width="19.42578125" customWidth="1"/>
  </cols>
  <sheetData>
    <row r="1" spans="1:7" x14ac:dyDescent="0.25">
      <c r="A1" s="1" t="s">
        <v>204</v>
      </c>
    </row>
    <row r="3" spans="1:7" x14ac:dyDescent="0.25">
      <c r="A3" s="258"/>
      <c r="B3" s="255" t="s">
        <v>0</v>
      </c>
      <c r="C3" s="256"/>
      <c r="D3" s="257"/>
      <c r="E3" s="255" t="s">
        <v>41</v>
      </c>
      <c r="F3" s="256"/>
      <c r="G3" s="257"/>
    </row>
    <row r="4" spans="1:7" ht="45.75" thickBot="1" x14ac:dyDescent="0.3">
      <c r="A4" s="259"/>
      <c r="B4" s="12" t="s">
        <v>1</v>
      </c>
      <c r="C4" s="12" t="s">
        <v>2</v>
      </c>
      <c r="D4" s="174" t="s">
        <v>3</v>
      </c>
      <c r="E4" s="12" t="s">
        <v>1</v>
      </c>
      <c r="F4" s="12" t="s">
        <v>2</v>
      </c>
      <c r="G4" s="174" t="s">
        <v>3</v>
      </c>
    </row>
    <row r="5" spans="1:7" ht="15.75" thickTop="1" x14ac:dyDescent="0.25">
      <c r="A5" s="6" t="s">
        <v>4</v>
      </c>
      <c r="B5" s="7">
        <v>1</v>
      </c>
      <c r="C5" s="7">
        <v>2</v>
      </c>
      <c r="D5" s="175">
        <f>SUM(B5:C5)</f>
        <v>3</v>
      </c>
      <c r="E5" s="9">
        <v>1210000</v>
      </c>
      <c r="F5" s="7">
        <v>312514</v>
      </c>
      <c r="G5" s="178">
        <f>SUM(E5:F5)</f>
        <v>1522514</v>
      </c>
    </row>
    <row r="6" spans="1:7" x14ac:dyDescent="0.25">
      <c r="A6" s="2" t="s">
        <v>6</v>
      </c>
      <c r="B6" s="3">
        <v>1</v>
      </c>
      <c r="C6" s="3">
        <v>7</v>
      </c>
      <c r="D6" s="176">
        <f>SUM(B6:C6)</f>
        <v>8</v>
      </c>
      <c r="E6" s="4">
        <v>1802560</v>
      </c>
      <c r="F6" s="4">
        <v>969564</v>
      </c>
      <c r="G6" s="179">
        <f>SUM(E6:F6)</f>
        <v>2772124</v>
      </c>
    </row>
    <row r="7" spans="1:7" x14ac:dyDescent="0.25">
      <c r="A7" s="2" t="s">
        <v>7</v>
      </c>
      <c r="B7" s="3">
        <v>3</v>
      </c>
      <c r="C7" s="3">
        <v>7</v>
      </c>
      <c r="D7" s="176">
        <f>SUM(B7:C7)</f>
        <v>10</v>
      </c>
      <c r="E7" s="4">
        <v>5197400</v>
      </c>
      <c r="F7" s="4">
        <v>975300</v>
      </c>
      <c r="G7" s="179">
        <f>SUM(E7:F7)</f>
        <v>6172700</v>
      </c>
    </row>
    <row r="8" spans="1:7" x14ac:dyDescent="0.25">
      <c r="A8" s="2" t="s">
        <v>8</v>
      </c>
      <c r="B8" s="2">
        <v>8</v>
      </c>
      <c r="C8" s="2">
        <v>20</v>
      </c>
      <c r="D8" s="158">
        <f>SUM(B8:C8)</f>
        <v>28</v>
      </c>
      <c r="E8" s="5">
        <v>76103509</v>
      </c>
      <c r="F8" s="5">
        <v>78387401</v>
      </c>
      <c r="G8" s="177">
        <f>SUM(E8:F8)</f>
        <v>154490910</v>
      </c>
    </row>
    <row r="9" spans="1:7" x14ac:dyDescent="0.25">
      <c r="A9" s="73" t="s">
        <v>83</v>
      </c>
      <c r="B9" s="2">
        <v>6</v>
      </c>
      <c r="C9" s="2">
        <v>10</v>
      </c>
      <c r="D9" s="158">
        <f>C9+B9</f>
        <v>16</v>
      </c>
      <c r="E9" s="5">
        <v>10404250</v>
      </c>
      <c r="F9" s="5">
        <v>1402540</v>
      </c>
      <c r="G9" s="177">
        <f>F9+E9</f>
        <v>11806790</v>
      </c>
    </row>
    <row r="10" spans="1:7" x14ac:dyDescent="0.25">
      <c r="A10" s="73" t="s">
        <v>97</v>
      </c>
      <c r="B10" s="2">
        <f>12+3</f>
        <v>15</v>
      </c>
      <c r="C10" s="2">
        <f>1+4+1+2</f>
        <v>8</v>
      </c>
      <c r="D10" s="158">
        <f>B10+C10</f>
        <v>23</v>
      </c>
      <c r="E10" s="5">
        <f>21085845+3636914</f>
        <v>24722759</v>
      </c>
      <c r="F10" s="5">
        <f>18076+965622+9810+414583</f>
        <v>1408091</v>
      </c>
      <c r="G10" s="177">
        <f>E10+F10</f>
        <v>26130850</v>
      </c>
    </row>
    <row r="11" spans="1:7" x14ac:dyDescent="0.25">
      <c r="A11" s="73" t="s">
        <v>119</v>
      </c>
      <c r="B11" s="2">
        <v>8</v>
      </c>
      <c r="C11" s="2">
        <v>9</v>
      </c>
      <c r="D11" s="158">
        <f>B11+C11</f>
        <v>17</v>
      </c>
      <c r="E11" s="5">
        <v>30422007</v>
      </c>
      <c r="F11" s="5">
        <v>1302769</v>
      </c>
      <c r="G11" s="177">
        <f>E11+F11</f>
        <v>31724776</v>
      </c>
    </row>
    <row r="12" spans="1:7" x14ac:dyDescent="0.25">
      <c r="A12" s="73" t="s">
        <v>134</v>
      </c>
      <c r="B12" s="2">
        <v>8</v>
      </c>
      <c r="C12" s="2">
        <v>7</v>
      </c>
      <c r="D12" s="158">
        <f>B12+C12</f>
        <v>15</v>
      </c>
      <c r="E12" s="5">
        <v>25402204</v>
      </c>
      <c r="F12" s="5">
        <v>1413617</v>
      </c>
      <c r="G12" s="177">
        <f>E12+F12</f>
        <v>26815821</v>
      </c>
    </row>
    <row r="13" spans="1:7" x14ac:dyDescent="0.25">
      <c r="A13" s="73" t="s">
        <v>208</v>
      </c>
      <c r="B13" s="2">
        <v>10</v>
      </c>
      <c r="C13" s="2">
        <v>12</v>
      </c>
      <c r="D13" s="158">
        <f>B13+C13</f>
        <v>22</v>
      </c>
      <c r="E13" s="5">
        <v>73372175</v>
      </c>
      <c r="F13" s="5">
        <v>2169562</v>
      </c>
      <c r="G13" s="177">
        <f>E13+F13</f>
        <v>75541737</v>
      </c>
    </row>
    <row r="14" spans="1:7" x14ac:dyDescent="0.25">
      <c r="A14" s="73" t="s">
        <v>219</v>
      </c>
      <c r="B14" s="2">
        <v>16</v>
      </c>
      <c r="C14" s="2">
        <v>1</v>
      </c>
      <c r="D14" s="158">
        <f>B14+C14</f>
        <v>17</v>
      </c>
      <c r="E14" s="5">
        <v>37670225</v>
      </c>
      <c r="F14" s="5">
        <v>300000</v>
      </c>
      <c r="G14" s="177">
        <f>E14+F14</f>
        <v>37970225</v>
      </c>
    </row>
  </sheetData>
  <mergeCells count="3">
    <mergeCell ref="A3:A4"/>
    <mergeCell ref="B3:D3"/>
    <mergeCell ref="E3:G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4:I67"/>
  <sheetViews>
    <sheetView topLeftCell="A30" zoomScaleNormal="100" workbookViewId="0">
      <selection activeCell="M62" sqref="M62"/>
    </sheetView>
  </sheetViews>
  <sheetFormatPr defaultRowHeight="15" x14ac:dyDescent="0.25"/>
  <cols>
    <col min="2" max="2" width="11" customWidth="1"/>
    <col min="3" max="3" width="12.42578125" customWidth="1"/>
    <col min="4" max="4" width="16.5703125" bestFit="1" customWidth="1"/>
    <col min="5" max="5" width="12.140625" customWidth="1"/>
    <col min="6" max="6" width="12.7109375" customWidth="1"/>
    <col min="7" max="7" width="10.85546875" bestFit="1" customWidth="1"/>
    <col min="8" max="8" width="12.5703125" customWidth="1"/>
    <col min="9" max="9" width="14.5703125" bestFit="1" customWidth="1"/>
    <col min="10" max="10" width="10.85546875" bestFit="1" customWidth="1"/>
  </cols>
  <sheetData>
    <row r="24" spans="1:9" x14ac:dyDescent="0.25">
      <c r="A24" s="181" t="s">
        <v>196</v>
      </c>
    </row>
    <row r="26" spans="1:9" x14ac:dyDescent="0.25">
      <c r="A26" s="239"/>
      <c r="B26" s="269" t="s">
        <v>0</v>
      </c>
      <c r="C26" s="269"/>
      <c r="D26" s="269"/>
      <c r="E26" s="270" t="s">
        <v>40</v>
      </c>
      <c r="F26" s="270"/>
      <c r="G26" s="270"/>
      <c r="H26" s="267" t="s">
        <v>52</v>
      </c>
      <c r="I26" s="268"/>
    </row>
    <row r="27" spans="1:9" ht="20.25" customHeight="1" thickBot="1" x14ac:dyDescent="0.3">
      <c r="A27" s="240"/>
      <c r="B27" s="244" t="s">
        <v>50</v>
      </c>
      <c r="C27" s="244" t="s">
        <v>51</v>
      </c>
      <c r="D27" s="245" t="s">
        <v>3</v>
      </c>
      <c r="E27" s="246" t="s">
        <v>50</v>
      </c>
      <c r="F27" s="246" t="s">
        <v>51</v>
      </c>
      <c r="G27" s="245" t="s">
        <v>3</v>
      </c>
      <c r="H27" s="247" t="s">
        <v>50</v>
      </c>
      <c r="I27" s="247" t="s">
        <v>51</v>
      </c>
    </row>
    <row r="28" spans="1:9" ht="15.75" thickTop="1" x14ac:dyDescent="0.25">
      <c r="A28" s="6" t="s">
        <v>4</v>
      </c>
      <c r="B28" s="101">
        <v>3</v>
      </c>
      <c r="C28" s="103">
        <v>0</v>
      </c>
      <c r="D28" s="8">
        <f>B28+C28</f>
        <v>3</v>
      </c>
      <c r="E28" s="54">
        <v>1522514</v>
      </c>
      <c r="F28" s="105">
        <v>0</v>
      </c>
      <c r="G28" s="10">
        <f>E28+F28</f>
        <v>1522514</v>
      </c>
      <c r="H28" s="54">
        <f t="shared" ref="H28:H33" si="0">E28/B28</f>
        <v>507504.66666666669</v>
      </c>
      <c r="I28" s="17">
        <v>0</v>
      </c>
    </row>
    <row r="29" spans="1:9" x14ac:dyDescent="0.25">
      <c r="A29" s="2" t="s">
        <v>6</v>
      </c>
      <c r="B29" s="102">
        <v>8</v>
      </c>
      <c r="C29" s="104">
        <v>12</v>
      </c>
      <c r="D29" s="3">
        <f t="shared" ref="D29:D33" si="1">B29+C29</f>
        <v>20</v>
      </c>
      <c r="E29" s="53">
        <v>2772124</v>
      </c>
      <c r="F29" s="106">
        <v>2430960</v>
      </c>
      <c r="G29" s="4">
        <f t="shared" ref="G29:G33" si="2">E29+F29</f>
        <v>5203084</v>
      </c>
      <c r="H29" s="53">
        <f t="shared" si="0"/>
        <v>346515.5</v>
      </c>
      <c r="I29" s="5">
        <f t="shared" ref="I29:I34" si="3">F29/C29</f>
        <v>202580</v>
      </c>
    </row>
    <row r="30" spans="1:9" x14ac:dyDescent="0.25">
      <c r="A30" s="2" t="s">
        <v>7</v>
      </c>
      <c r="B30" s="102">
        <v>10</v>
      </c>
      <c r="C30" s="104">
        <v>7</v>
      </c>
      <c r="D30" s="3">
        <f t="shared" si="1"/>
        <v>17</v>
      </c>
      <c r="E30" s="53">
        <v>6172700</v>
      </c>
      <c r="F30" s="106">
        <v>1310648</v>
      </c>
      <c r="G30" s="4">
        <f t="shared" si="2"/>
        <v>7483348</v>
      </c>
      <c r="H30" s="53">
        <f t="shared" si="0"/>
        <v>617270</v>
      </c>
      <c r="I30" s="5">
        <f t="shared" si="3"/>
        <v>187235.42857142858</v>
      </c>
    </row>
    <row r="31" spans="1:9" x14ac:dyDescent="0.25">
      <c r="A31" s="2" t="s">
        <v>8</v>
      </c>
      <c r="B31" s="102">
        <v>28</v>
      </c>
      <c r="C31" s="104">
        <v>10</v>
      </c>
      <c r="D31" s="3">
        <f t="shared" si="1"/>
        <v>38</v>
      </c>
      <c r="E31" s="53">
        <v>154490910</v>
      </c>
      <c r="F31" s="106">
        <v>30421394</v>
      </c>
      <c r="G31" s="4">
        <f t="shared" si="2"/>
        <v>184912304</v>
      </c>
      <c r="H31" s="53">
        <f t="shared" si="0"/>
        <v>5517532.5</v>
      </c>
      <c r="I31" s="5">
        <f t="shared" si="3"/>
        <v>3042139.4</v>
      </c>
    </row>
    <row r="32" spans="1:9" x14ac:dyDescent="0.25">
      <c r="A32" s="73" t="s">
        <v>83</v>
      </c>
      <c r="B32" s="102">
        <v>16</v>
      </c>
      <c r="C32" s="104">
        <v>11</v>
      </c>
      <c r="D32" s="2">
        <f t="shared" si="1"/>
        <v>27</v>
      </c>
      <c r="E32" s="53">
        <v>11806790</v>
      </c>
      <c r="F32" s="106">
        <v>3499583</v>
      </c>
      <c r="G32" s="5">
        <f t="shared" si="2"/>
        <v>15306373</v>
      </c>
      <c r="H32" s="5">
        <f t="shared" si="0"/>
        <v>737924.375</v>
      </c>
      <c r="I32" s="5">
        <f t="shared" si="3"/>
        <v>318143.90909090912</v>
      </c>
    </row>
    <row r="33" spans="1:9" x14ac:dyDescent="0.25">
      <c r="A33" s="73" t="s">
        <v>97</v>
      </c>
      <c r="B33" s="102">
        <v>23</v>
      </c>
      <c r="C33" s="104">
        <v>13</v>
      </c>
      <c r="D33" s="2">
        <f t="shared" si="1"/>
        <v>36</v>
      </c>
      <c r="E33" s="53">
        <v>26130850</v>
      </c>
      <c r="F33" s="106">
        <v>2488557</v>
      </c>
      <c r="G33" s="5">
        <f t="shared" si="2"/>
        <v>28619407</v>
      </c>
      <c r="H33" s="5">
        <f t="shared" si="0"/>
        <v>1136123.9130434783</v>
      </c>
      <c r="I33" s="5">
        <f t="shared" si="3"/>
        <v>191427.46153846153</v>
      </c>
    </row>
    <row r="34" spans="1:9" x14ac:dyDescent="0.25">
      <c r="A34" s="73" t="s">
        <v>119</v>
      </c>
      <c r="B34" s="102">
        <f>'V. Centralizētie_kopā_tab'!D11</f>
        <v>17</v>
      </c>
      <c r="C34" s="104">
        <f>'III. Decentralizetie_kopa_tab'!D11</f>
        <v>22</v>
      </c>
      <c r="D34" s="2">
        <f>B34+C34</f>
        <v>39</v>
      </c>
      <c r="E34" s="53">
        <f>'V. Centralizētie_kopā_tab'!G11</f>
        <v>31724776</v>
      </c>
      <c r="F34" s="106">
        <f>'III. Decentralizetie_kopa_tab'!G11</f>
        <v>63499351</v>
      </c>
      <c r="G34" s="5">
        <f>E34+F34</f>
        <v>95224127</v>
      </c>
      <c r="H34" s="5">
        <f>E34/B34</f>
        <v>1866163.294117647</v>
      </c>
      <c r="I34" s="5">
        <f t="shared" si="3"/>
        <v>2886334.1363636362</v>
      </c>
    </row>
    <row r="35" spans="1:9" x14ac:dyDescent="0.25">
      <c r="A35" s="73" t="s">
        <v>134</v>
      </c>
      <c r="B35" s="102">
        <v>15</v>
      </c>
      <c r="C35" s="104">
        <v>27</v>
      </c>
      <c r="D35" s="2">
        <v>42</v>
      </c>
      <c r="E35" s="53">
        <v>26815821</v>
      </c>
      <c r="F35" s="106">
        <v>28746343</v>
      </c>
      <c r="G35" s="5">
        <f>E35+F35</f>
        <v>55562164</v>
      </c>
      <c r="H35" s="5">
        <f>E35/B35</f>
        <v>1787721.4</v>
      </c>
      <c r="I35" s="5">
        <f>F35/C35</f>
        <v>1064679.3703703703</v>
      </c>
    </row>
    <row r="36" spans="1:9" x14ac:dyDescent="0.25">
      <c r="A36" s="73" t="s">
        <v>208</v>
      </c>
      <c r="B36" s="102">
        <f>'V. Centralizētie_kopā_tab'!D13</f>
        <v>22</v>
      </c>
      <c r="C36" s="104">
        <f>'III. Decentralizetie_kopa_tab'!D13</f>
        <v>51</v>
      </c>
      <c r="D36" s="2">
        <f>B36+C36</f>
        <v>73</v>
      </c>
      <c r="E36" s="53">
        <f>'V. Centralizētie_kopā_tab'!G13</f>
        <v>75541737</v>
      </c>
      <c r="F36" s="106">
        <f>'III. Decentralizetie_kopa_tab'!G13</f>
        <v>28235973</v>
      </c>
      <c r="G36" s="5">
        <f>E36+F36</f>
        <v>103777710</v>
      </c>
      <c r="H36" s="5">
        <f>E36/B36</f>
        <v>3433715.3181818184</v>
      </c>
      <c r="I36" s="5">
        <f>F36/C36</f>
        <v>553646.5294117647</v>
      </c>
    </row>
    <row r="37" spans="1:9" x14ac:dyDescent="0.25">
      <c r="A37" s="73" t="s">
        <v>219</v>
      </c>
      <c r="B37" s="102">
        <v>17</v>
      </c>
      <c r="C37" s="104">
        <v>53</v>
      </c>
      <c r="D37" s="2">
        <f>B37+C37</f>
        <v>70</v>
      </c>
      <c r="E37" s="53">
        <v>37970225</v>
      </c>
      <c r="F37" s="106">
        <v>42090164</v>
      </c>
      <c r="G37" s="5">
        <f>E37+F37</f>
        <v>80060389</v>
      </c>
      <c r="H37" s="5">
        <f>E37/B37</f>
        <v>2233542.6470588236</v>
      </c>
      <c r="I37" s="5">
        <f>F37/C37</f>
        <v>794154.03773584904</v>
      </c>
    </row>
    <row r="39" spans="1:9" x14ac:dyDescent="0.25">
      <c r="A39" s="181" t="s">
        <v>197</v>
      </c>
    </row>
    <row r="41" spans="1:9" ht="15" customHeight="1" x14ac:dyDescent="0.25">
      <c r="A41" s="239"/>
      <c r="B41" s="269" t="s">
        <v>0</v>
      </c>
      <c r="C41" s="269"/>
      <c r="D41" s="269"/>
      <c r="E41" s="270" t="s">
        <v>40</v>
      </c>
      <c r="F41" s="270"/>
      <c r="G41" s="270"/>
    </row>
    <row r="42" spans="1:9" ht="27" thickBot="1" x14ac:dyDescent="0.3">
      <c r="A42" s="240"/>
      <c r="B42" s="242" t="s">
        <v>50</v>
      </c>
      <c r="C42" s="242" t="s">
        <v>51</v>
      </c>
      <c r="D42" s="241" t="s">
        <v>3</v>
      </c>
      <c r="E42" s="241" t="s">
        <v>50</v>
      </c>
      <c r="F42" s="241" t="s">
        <v>51</v>
      </c>
      <c r="G42" s="241" t="s">
        <v>3</v>
      </c>
    </row>
    <row r="43" spans="1:9" ht="15.75" thickTop="1" x14ac:dyDescent="0.25">
      <c r="A43" s="6" t="s">
        <v>4</v>
      </c>
      <c r="B43" s="51">
        <f t="shared" ref="B43:B51" si="4">B28/D28</f>
        <v>1</v>
      </c>
      <c r="C43" s="107">
        <f t="shared" ref="C43:C51" si="5">C28/D28</f>
        <v>0</v>
      </c>
      <c r="D43" s="50">
        <f>B43+C43</f>
        <v>1</v>
      </c>
      <c r="E43" s="51">
        <f t="shared" ref="E43:E51" si="6">E28/G28</f>
        <v>1</v>
      </c>
      <c r="F43" s="107">
        <f t="shared" ref="F43:F51" si="7">F28/G28</f>
        <v>0</v>
      </c>
      <c r="G43" s="50">
        <f>E43+F43</f>
        <v>1</v>
      </c>
    </row>
    <row r="44" spans="1:9" x14ac:dyDescent="0.25">
      <c r="A44" s="2" t="s">
        <v>6</v>
      </c>
      <c r="B44" s="52">
        <f t="shared" si="4"/>
        <v>0.4</v>
      </c>
      <c r="C44" s="108">
        <f t="shared" si="5"/>
        <v>0.6</v>
      </c>
      <c r="D44" s="49">
        <f t="shared" ref="D44:D52" si="8">B44+C44</f>
        <v>1</v>
      </c>
      <c r="E44" s="52">
        <f t="shared" si="6"/>
        <v>0.53278478686871089</v>
      </c>
      <c r="F44" s="108">
        <f t="shared" si="7"/>
        <v>0.46721521313128905</v>
      </c>
      <c r="G44" s="49">
        <f t="shared" ref="G44:G52" si="9">E44+F44</f>
        <v>1</v>
      </c>
    </row>
    <row r="45" spans="1:9" x14ac:dyDescent="0.25">
      <c r="A45" s="2" t="s">
        <v>7</v>
      </c>
      <c r="B45" s="52">
        <f t="shared" si="4"/>
        <v>0.58823529411764708</v>
      </c>
      <c r="C45" s="108">
        <f t="shared" si="5"/>
        <v>0.41176470588235292</v>
      </c>
      <c r="D45" s="49">
        <f t="shared" si="8"/>
        <v>1</v>
      </c>
      <c r="E45" s="52">
        <f t="shared" si="6"/>
        <v>0.82485807154765489</v>
      </c>
      <c r="F45" s="108">
        <f t="shared" si="7"/>
        <v>0.17514192845234514</v>
      </c>
      <c r="G45" s="49">
        <f t="shared" si="9"/>
        <v>1</v>
      </c>
    </row>
    <row r="46" spans="1:9" x14ac:dyDescent="0.25">
      <c r="A46" s="2" t="s">
        <v>8</v>
      </c>
      <c r="B46" s="52">
        <f t="shared" si="4"/>
        <v>0.73684210526315785</v>
      </c>
      <c r="C46" s="108">
        <f t="shared" si="5"/>
        <v>0.26315789473684209</v>
      </c>
      <c r="D46" s="49">
        <f t="shared" si="8"/>
        <v>1</v>
      </c>
      <c r="E46" s="52">
        <f t="shared" si="6"/>
        <v>0.83548204558632289</v>
      </c>
      <c r="F46" s="108">
        <f t="shared" si="7"/>
        <v>0.16451795441367709</v>
      </c>
      <c r="G46" s="49">
        <f t="shared" si="9"/>
        <v>1</v>
      </c>
    </row>
    <row r="47" spans="1:9" x14ac:dyDescent="0.25">
      <c r="A47" s="73" t="s">
        <v>83</v>
      </c>
      <c r="B47" s="52">
        <f t="shared" si="4"/>
        <v>0.59259259259259256</v>
      </c>
      <c r="C47" s="108">
        <f t="shared" si="5"/>
        <v>0.40740740740740738</v>
      </c>
      <c r="D47" s="49">
        <f t="shared" si="8"/>
        <v>1</v>
      </c>
      <c r="E47" s="52">
        <f t="shared" si="6"/>
        <v>0.77136431994699206</v>
      </c>
      <c r="F47" s="108">
        <f t="shared" si="7"/>
        <v>0.22863568005300799</v>
      </c>
      <c r="G47" s="49">
        <f t="shared" si="9"/>
        <v>1</v>
      </c>
    </row>
    <row r="48" spans="1:9" x14ac:dyDescent="0.25">
      <c r="A48" s="73" t="s">
        <v>97</v>
      </c>
      <c r="B48" s="52">
        <f t="shared" si="4"/>
        <v>0.63888888888888884</v>
      </c>
      <c r="C48" s="108">
        <f t="shared" si="5"/>
        <v>0.3611111111111111</v>
      </c>
      <c r="D48" s="49">
        <f t="shared" si="8"/>
        <v>1</v>
      </c>
      <c r="E48" s="52">
        <f t="shared" si="6"/>
        <v>0.91304652119451668</v>
      </c>
      <c r="F48" s="108">
        <f t="shared" si="7"/>
        <v>8.6953478805483292E-2</v>
      </c>
      <c r="G48" s="49">
        <f t="shared" si="9"/>
        <v>1</v>
      </c>
    </row>
    <row r="49" spans="1:7" x14ac:dyDescent="0.25">
      <c r="A49" s="73" t="s">
        <v>119</v>
      </c>
      <c r="B49" s="52">
        <f t="shared" si="4"/>
        <v>0.4358974358974359</v>
      </c>
      <c r="C49" s="108">
        <f t="shared" si="5"/>
        <v>0.5641025641025641</v>
      </c>
      <c r="D49" s="49">
        <f t="shared" si="8"/>
        <v>1</v>
      </c>
      <c r="E49" s="52">
        <f t="shared" si="6"/>
        <v>0.33315901126612585</v>
      </c>
      <c r="F49" s="108">
        <f t="shared" si="7"/>
        <v>0.6668409887338741</v>
      </c>
      <c r="G49" s="49">
        <f t="shared" si="9"/>
        <v>1</v>
      </c>
    </row>
    <row r="50" spans="1:7" x14ac:dyDescent="0.25">
      <c r="A50" s="73" t="s">
        <v>134</v>
      </c>
      <c r="B50" s="52">
        <f t="shared" si="4"/>
        <v>0.35714285714285715</v>
      </c>
      <c r="C50" s="108">
        <f t="shared" si="5"/>
        <v>0.6428571428571429</v>
      </c>
      <c r="D50" s="49">
        <f t="shared" si="8"/>
        <v>1</v>
      </c>
      <c r="E50" s="52">
        <f t="shared" si="6"/>
        <v>0.48262736850926108</v>
      </c>
      <c r="F50" s="108">
        <f t="shared" si="7"/>
        <v>0.51737263149073887</v>
      </c>
      <c r="G50" s="49">
        <f t="shared" si="9"/>
        <v>1</v>
      </c>
    </row>
    <row r="51" spans="1:7" x14ac:dyDescent="0.25">
      <c r="A51" s="73" t="s">
        <v>208</v>
      </c>
      <c r="B51" s="52">
        <f t="shared" si="4"/>
        <v>0.30136986301369861</v>
      </c>
      <c r="C51" s="108">
        <f t="shared" si="5"/>
        <v>0.69863013698630139</v>
      </c>
      <c r="D51" s="49">
        <f t="shared" si="8"/>
        <v>1</v>
      </c>
      <c r="E51" s="52">
        <f t="shared" si="6"/>
        <v>0.72791871202399827</v>
      </c>
      <c r="F51" s="108">
        <f t="shared" si="7"/>
        <v>0.27208128797600178</v>
      </c>
      <c r="G51" s="49">
        <f t="shared" si="9"/>
        <v>1</v>
      </c>
    </row>
    <row r="52" spans="1:7" x14ac:dyDescent="0.25">
      <c r="A52" s="73" t="s">
        <v>219</v>
      </c>
      <c r="B52" s="52">
        <f>B37/D37</f>
        <v>0.24285714285714285</v>
      </c>
      <c r="C52" s="108">
        <f>C37/D37</f>
        <v>0.75714285714285712</v>
      </c>
      <c r="D52" s="49">
        <f t="shared" si="8"/>
        <v>1</v>
      </c>
      <c r="E52" s="52">
        <f>E37/G37</f>
        <v>0.47426980401007046</v>
      </c>
      <c r="F52" s="108">
        <f>F37/G37</f>
        <v>0.52573019598992954</v>
      </c>
      <c r="G52" s="49">
        <f t="shared" si="9"/>
        <v>1</v>
      </c>
    </row>
    <row r="54" spans="1:7" x14ac:dyDescent="0.25">
      <c r="A54" s="181" t="s">
        <v>269</v>
      </c>
    </row>
    <row r="56" spans="1:7" ht="46.5" customHeight="1" x14ac:dyDescent="0.25">
      <c r="A56" s="239"/>
      <c r="B56" s="269" t="s">
        <v>40</v>
      </c>
      <c r="C56" s="269"/>
      <c r="D56" s="267" t="s">
        <v>52</v>
      </c>
      <c r="E56" s="268"/>
    </row>
    <row r="57" spans="1:7" ht="27" thickBot="1" x14ac:dyDescent="0.3">
      <c r="A57" s="240"/>
      <c r="B57" s="242" t="s">
        <v>50</v>
      </c>
      <c r="C57" s="242" t="s">
        <v>51</v>
      </c>
      <c r="D57" s="243" t="s">
        <v>50</v>
      </c>
      <c r="E57" s="243" t="s">
        <v>51</v>
      </c>
    </row>
    <row r="58" spans="1:7" ht="15.75" thickTop="1" x14ac:dyDescent="0.25">
      <c r="A58" s="6" t="s">
        <v>4</v>
      </c>
      <c r="B58" s="51">
        <f>B43/D43</f>
        <v>1</v>
      </c>
      <c r="C58" s="107">
        <f>C43/D43</f>
        <v>0</v>
      </c>
      <c r="D58" s="54">
        <v>507505</v>
      </c>
      <c r="E58" s="105">
        <v>0</v>
      </c>
    </row>
    <row r="59" spans="1:7" x14ac:dyDescent="0.25">
      <c r="A59" s="2" t="s">
        <v>6</v>
      </c>
      <c r="B59" s="52">
        <f t="shared" ref="B59:C66" si="10">E44</f>
        <v>0.53278478686871089</v>
      </c>
      <c r="C59" s="108">
        <f t="shared" si="10"/>
        <v>0.46721521313128905</v>
      </c>
      <c r="D59" s="53">
        <v>346516</v>
      </c>
      <c r="E59" s="106">
        <v>202580</v>
      </c>
    </row>
    <row r="60" spans="1:7" x14ac:dyDescent="0.25">
      <c r="A60" s="2" t="s">
        <v>7</v>
      </c>
      <c r="B60" s="52">
        <f t="shared" si="10"/>
        <v>0.82485807154765489</v>
      </c>
      <c r="C60" s="108">
        <f t="shared" si="10"/>
        <v>0.17514192845234514</v>
      </c>
      <c r="D60" s="53">
        <v>617270</v>
      </c>
      <c r="E60" s="106">
        <v>187235</v>
      </c>
    </row>
    <row r="61" spans="1:7" x14ac:dyDescent="0.25">
      <c r="A61" s="2" t="s">
        <v>8</v>
      </c>
      <c r="B61" s="52">
        <f t="shared" si="10"/>
        <v>0.83548204558632289</v>
      </c>
      <c r="C61" s="108">
        <f t="shared" si="10"/>
        <v>0.16451795441367709</v>
      </c>
      <c r="D61" s="53">
        <v>5517533</v>
      </c>
      <c r="E61" s="106">
        <v>3042139</v>
      </c>
    </row>
    <row r="62" spans="1:7" x14ac:dyDescent="0.25">
      <c r="A62" s="73" t="s">
        <v>83</v>
      </c>
      <c r="B62" s="52">
        <f t="shared" si="10"/>
        <v>0.77136431994699206</v>
      </c>
      <c r="C62" s="108">
        <f t="shared" si="10"/>
        <v>0.22863568005300799</v>
      </c>
      <c r="D62" s="53">
        <v>737924</v>
      </c>
      <c r="E62" s="106">
        <v>318144</v>
      </c>
    </row>
    <row r="63" spans="1:7" x14ac:dyDescent="0.25">
      <c r="A63" s="73" t="s">
        <v>97</v>
      </c>
      <c r="B63" s="52">
        <f t="shared" si="10"/>
        <v>0.91304652119451668</v>
      </c>
      <c r="C63" s="108">
        <f t="shared" si="10"/>
        <v>8.6953478805483292E-2</v>
      </c>
      <c r="D63" s="53">
        <v>1136124</v>
      </c>
      <c r="E63" s="106">
        <v>191427</v>
      </c>
    </row>
    <row r="64" spans="1:7" x14ac:dyDescent="0.25">
      <c r="A64" s="73" t="s">
        <v>119</v>
      </c>
      <c r="B64" s="52">
        <f t="shared" si="10"/>
        <v>0.33315901126612585</v>
      </c>
      <c r="C64" s="108">
        <f t="shared" si="10"/>
        <v>0.6668409887338741</v>
      </c>
      <c r="D64" s="53">
        <f t="shared" ref="D64:E66" si="11">H34</f>
        <v>1866163.294117647</v>
      </c>
      <c r="E64" s="106">
        <f t="shared" si="11"/>
        <v>2886334.1363636362</v>
      </c>
    </row>
    <row r="65" spans="1:5" x14ac:dyDescent="0.25">
      <c r="A65" s="73" t="s">
        <v>134</v>
      </c>
      <c r="B65" s="52">
        <f t="shared" si="10"/>
        <v>0.48262736850926108</v>
      </c>
      <c r="C65" s="108">
        <f t="shared" si="10"/>
        <v>0.51737263149073887</v>
      </c>
      <c r="D65" s="53">
        <f t="shared" si="11"/>
        <v>1787721.4</v>
      </c>
      <c r="E65" s="106">
        <f t="shared" si="11"/>
        <v>1064679.3703703703</v>
      </c>
    </row>
    <row r="66" spans="1:5" x14ac:dyDescent="0.25">
      <c r="A66" s="73" t="s">
        <v>208</v>
      </c>
      <c r="B66" s="52">
        <f t="shared" si="10"/>
        <v>0.72791871202399827</v>
      </c>
      <c r="C66" s="108">
        <f t="shared" si="10"/>
        <v>0.27208128797600178</v>
      </c>
      <c r="D66" s="53">
        <f t="shared" si="11"/>
        <v>3433715.3181818184</v>
      </c>
      <c r="E66" s="106">
        <f t="shared" si="11"/>
        <v>553646.5294117647</v>
      </c>
    </row>
    <row r="67" spans="1:5" x14ac:dyDescent="0.25">
      <c r="A67" s="73" t="s">
        <v>219</v>
      </c>
      <c r="B67" s="52">
        <f>E52</f>
        <v>0.47426980401007046</v>
      </c>
      <c r="C67" s="108">
        <f>F52</f>
        <v>0.52573019598992954</v>
      </c>
      <c r="D67" s="53">
        <f>H37</f>
        <v>2233542.6470588236</v>
      </c>
      <c r="E67" s="106">
        <f>I37</f>
        <v>794154.03773584904</v>
      </c>
    </row>
  </sheetData>
  <mergeCells count="7">
    <mergeCell ref="H26:I26"/>
    <mergeCell ref="B56:C56"/>
    <mergeCell ref="D56:E56"/>
    <mergeCell ref="B41:D41"/>
    <mergeCell ref="E41:G41"/>
    <mergeCell ref="B26:D26"/>
    <mergeCell ref="E26:G26"/>
  </mergeCells>
  <conditionalFormatting sqref="B58:B66">
    <cfRule type="iconSet" priority="19">
      <iconSet iconSet="3Arrows">
        <cfvo type="percent" val="0"/>
        <cfvo type="percent" val="33"/>
        <cfvo type="percent" val="67"/>
      </iconSet>
    </cfRule>
  </conditionalFormatting>
  <conditionalFormatting sqref="C58:C66">
    <cfRule type="iconSet" priority="18">
      <iconSet iconSet="3Arrows">
        <cfvo type="percent" val="0"/>
        <cfvo type="percent" val="33"/>
        <cfvo type="percent" val="67"/>
      </iconSet>
    </cfRule>
  </conditionalFormatting>
  <conditionalFormatting sqref="D58:D66">
    <cfRule type="iconSet" priority="17">
      <iconSet iconSet="3Arrows">
        <cfvo type="percent" val="0"/>
        <cfvo type="percent" val="33"/>
        <cfvo type="percent" val="67"/>
      </iconSet>
    </cfRule>
  </conditionalFormatting>
  <conditionalFormatting sqref="E58:E66">
    <cfRule type="iconSet" priority="16">
      <iconSet iconSet="3Arrows">
        <cfvo type="percent" val="0"/>
        <cfvo type="percent" val="33"/>
        <cfvo type="percent" val="67"/>
      </iconSet>
    </cfRule>
  </conditionalFormatting>
  <conditionalFormatting sqref="H28:H37">
    <cfRule type="dataBar" priority="14">
      <dataBar>
        <cfvo type="min"/>
        <cfvo type="max"/>
        <color rgb="FF638EC6"/>
      </dataBar>
      <extLst>
        <ext xmlns:x14="http://schemas.microsoft.com/office/spreadsheetml/2009/9/main" uri="{B025F937-C7B1-47D3-B67F-A62EFF666E3E}">
          <x14:id>{74CB5FDF-293A-46DE-82C6-9E7D1D0F2847}</x14:id>
        </ext>
      </extLst>
    </cfRule>
    <cfRule type="iconSet" priority="15">
      <iconSet iconSet="3Arrows">
        <cfvo type="percent" val="0"/>
        <cfvo type="percent" val="33"/>
        <cfvo type="percent" val="67"/>
      </iconSet>
    </cfRule>
  </conditionalFormatting>
  <conditionalFormatting sqref="I28:I37">
    <cfRule type="dataBar" priority="12">
      <dataBar>
        <cfvo type="min"/>
        <cfvo type="max"/>
        <color rgb="FF638EC6"/>
      </dataBar>
      <extLst>
        <ext xmlns:x14="http://schemas.microsoft.com/office/spreadsheetml/2009/9/main" uri="{B025F937-C7B1-47D3-B67F-A62EFF666E3E}">
          <x14:id>{9CB0187F-E6F5-4427-B545-4100A06B531F}</x14:id>
        </ext>
      </extLst>
    </cfRule>
    <cfRule type="iconSet" priority="13">
      <iconSet iconSet="3Arrows">
        <cfvo type="percent" val="0"/>
        <cfvo type="percent" val="33"/>
        <cfvo type="percent" val="67"/>
      </iconSet>
    </cfRule>
  </conditionalFormatting>
  <conditionalFormatting sqref="B43:B52">
    <cfRule type="iconSet" priority="9">
      <iconSet iconSet="3Arrows">
        <cfvo type="percent" val="0"/>
        <cfvo type="percent" val="33"/>
        <cfvo type="percent" val="67"/>
      </iconSet>
    </cfRule>
  </conditionalFormatting>
  <conditionalFormatting sqref="C43:C52">
    <cfRule type="iconSet" priority="8">
      <iconSet iconSet="3Arrows">
        <cfvo type="percent" val="0"/>
        <cfvo type="percent" val="33"/>
        <cfvo type="percent" val="67"/>
      </iconSet>
    </cfRule>
  </conditionalFormatting>
  <conditionalFormatting sqref="E43:E52">
    <cfRule type="iconSet" priority="7">
      <iconSet iconSet="3Arrows">
        <cfvo type="percent" val="0"/>
        <cfvo type="percent" val="33"/>
        <cfvo type="percent" val="67"/>
      </iconSet>
    </cfRule>
  </conditionalFormatting>
  <conditionalFormatting sqref="F43:F52">
    <cfRule type="iconSet" priority="5">
      <iconSet iconSet="3Arrows">
        <cfvo type="percent" val="0"/>
        <cfvo type="percent" val="33"/>
        <cfvo type="percent" val="67"/>
      </iconSet>
    </cfRule>
  </conditionalFormatting>
  <conditionalFormatting sqref="B58:B67">
    <cfRule type="iconSet" priority="4">
      <iconSet iconSet="3Arrows">
        <cfvo type="percent" val="0"/>
        <cfvo type="percent" val="33"/>
        <cfvo type="percent" val="67"/>
      </iconSet>
    </cfRule>
  </conditionalFormatting>
  <conditionalFormatting sqref="C58:C67">
    <cfRule type="iconSet" priority="3">
      <iconSet iconSet="3Arrows">
        <cfvo type="percent" val="0"/>
        <cfvo type="percent" val="33"/>
        <cfvo type="percent" val="67"/>
      </iconSet>
    </cfRule>
  </conditionalFormatting>
  <conditionalFormatting sqref="D58:D67">
    <cfRule type="iconSet" priority="2">
      <iconSet iconSet="3Arrows">
        <cfvo type="percent" val="0"/>
        <cfvo type="percent" val="33"/>
        <cfvo type="percent" val="67"/>
      </iconSet>
    </cfRule>
  </conditionalFormatting>
  <conditionalFormatting sqref="E58:E67">
    <cfRule type="iconSet" priority="1">
      <iconSet iconSet="3Arrows">
        <cfvo type="percent" val="0"/>
        <cfvo type="percent" val="33"/>
        <cfvo type="percent" val="67"/>
      </iconSet>
    </cfRule>
  </conditionalFormatting>
  <pageMargins left="0.7" right="0.7" top="0.75" bottom="0.75"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4CB5FDF-293A-46DE-82C6-9E7D1D0F2847}">
            <x14:dataBar minLength="0" maxLength="100" gradient="0">
              <x14:cfvo type="autoMin"/>
              <x14:cfvo type="autoMax"/>
              <x14:negativeFillColor rgb="FFFF0000"/>
              <x14:axisColor rgb="FF000000"/>
            </x14:dataBar>
          </x14:cfRule>
          <xm:sqref>H28:H37</xm:sqref>
        </x14:conditionalFormatting>
        <x14:conditionalFormatting xmlns:xm="http://schemas.microsoft.com/office/excel/2006/main">
          <x14:cfRule type="dataBar" id="{9CB0187F-E6F5-4427-B545-4100A06B531F}">
            <x14:dataBar minLength="0" maxLength="100" gradient="0">
              <x14:cfvo type="autoMin"/>
              <x14:cfvo type="autoMax"/>
              <x14:negativeFillColor rgb="FFFF0000"/>
              <x14:axisColor rgb="FF000000"/>
            </x14:dataBar>
          </x14:cfRule>
          <xm:sqref>I28:I37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44"/>
  <sheetViews>
    <sheetView topLeftCell="B3" zoomScaleNormal="100" workbookViewId="0">
      <selection activeCell="H46" sqref="H46"/>
    </sheetView>
  </sheetViews>
  <sheetFormatPr defaultRowHeight="15" x14ac:dyDescent="0.25"/>
  <cols>
    <col min="1" max="1" width="9.42578125" customWidth="1"/>
    <col min="2" max="2" width="13.5703125" customWidth="1"/>
    <col min="3" max="3" width="3.5703125" bestFit="1" customWidth="1"/>
    <col min="4" max="4" width="10.42578125" bestFit="1" customWidth="1"/>
    <col min="5" max="5" width="2.5703125" customWidth="1"/>
    <col min="6" max="6" width="9.140625" customWidth="1"/>
    <col min="7" max="7" width="3.5703125" bestFit="1" customWidth="1"/>
    <col min="8" max="8" width="9.140625" customWidth="1"/>
    <col min="9" max="9" width="2.5703125" customWidth="1"/>
    <col min="10" max="10" width="9.140625" customWidth="1"/>
    <col min="11" max="11" width="2.5703125" customWidth="1"/>
    <col min="12" max="12" width="9.85546875" bestFit="1" customWidth="1"/>
    <col min="13" max="13" width="2.5703125" customWidth="1"/>
    <col min="14" max="14" width="9.140625" customWidth="1"/>
    <col min="15" max="15" width="2.5703125" customWidth="1"/>
    <col min="16" max="16" width="9.140625" customWidth="1"/>
    <col min="17" max="17" width="3.5703125" bestFit="1" customWidth="1"/>
    <col min="18" max="18" width="9.140625" customWidth="1"/>
    <col min="19" max="19" width="3.7109375" bestFit="1" customWidth="1"/>
    <col min="20" max="20" width="9.140625" customWidth="1"/>
    <col min="21" max="21" width="2.42578125" customWidth="1"/>
    <col min="22" max="22" width="9.140625" customWidth="1"/>
    <col min="23" max="23" width="3.5703125" customWidth="1"/>
    <col min="24" max="24" width="9.85546875" bestFit="1" customWidth="1"/>
    <col min="25" max="25" width="3.5703125" bestFit="1" customWidth="1"/>
    <col min="26" max="26" width="9.140625" customWidth="1"/>
    <col min="27" max="27" width="2.5703125" customWidth="1"/>
    <col min="28" max="28" width="9.140625" customWidth="1"/>
    <col min="29" max="29" width="2.5703125" customWidth="1"/>
    <col min="30" max="30" width="10" bestFit="1" customWidth="1"/>
    <col min="31" max="31" width="2.42578125" customWidth="1"/>
    <col min="32" max="32" width="10.5703125" bestFit="1" customWidth="1"/>
    <col min="33" max="33" width="3.5703125" bestFit="1" customWidth="1"/>
    <col min="34" max="34" width="10.42578125" customWidth="1"/>
    <col min="35" max="35" width="3.28515625" customWidth="1"/>
    <col min="36" max="36" width="10.42578125" customWidth="1"/>
    <col min="37" max="37" width="3.28515625" customWidth="1"/>
    <col min="38" max="38" width="10.42578125" customWidth="1"/>
    <col min="39" max="39" width="2.5703125" customWidth="1"/>
    <col min="40" max="40" width="9.85546875" customWidth="1"/>
    <col min="41" max="41" width="3.28515625" customWidth="1"/>
    <col min="42" max="42" width="9.85546875" customWidth="1"/>
    <col min="43" max="43" width="2.5703125" customWidth="1"/>
    <col min="44" max="44" width="10.140625" customWidth="1"/>
    <col min="45" max="45" width="7.140625" bestFit="1" customWidth="1"/>
    <col min="46" max="46" width="10.28515625" customWidth="1"/>
  </cols>
  <sheetData>
    <row r="1" spans="1:46" x14ac:dyDescent="0.25">
      <c r="A1" s="1" t="s">
        <v>205</v>
      </c>
    </row>
    <row r="3" spans="1:46" x14ac:dyDescent="0.25">
      <c r="A3" s="258" t="s">
        <v>39</v>
      </c>
      <c r="B3" s="272" t="s">
        <v>38</v>
      </c>
      <c r="C3" s="279" t="s">
        <v>28</v>
      </c>
      <c r="D3" s="280"/>
      <c r="E3" s="211" t="s">
        <v>34</v>
      </c>
      <c r="F3" s="212"/>
      <c r="G3" s="212"/>
      <c r="H3" s="212"/>
      <c r="I3" s="212"/>
      <c r="J3" s="212"/>
      <c r="K3" s="212"/>
      <c r="L3" s="212"/>
      <c r="M3" s="212"/>
      <c r="N3" s="212"/>
      <c r="O3" s="212"/>
      <c r="P3" s="212"/>
      <c r="Q3" s="212"/>
      <c r="R3" s="212"/>
      <c r="S3" s="212"/>
      <c r="T3" s="212"/>
      <c r="U3" s="212"/>
      <c r="V3" s="212"/>
      <c r="W3" s="212"/>
      <c r="X3" s="212"/>
      <c r="Y3" s="212"/>
      <c r="Z3" s="212"/>
      <c r="AA3" s="212"/>
      <c r="AB3" s="212"/>
      <c r="AC3" s="284" t="s">
        <v>35</v>
      </c>
      <c r="AD3" s="284"/>
      <c r="AE3" s="284"/>
      <c r="AF3" s="284"/>
      <c r="AG3" s="284"/>
      <c r="AH3" s="284"/>
      <c r="AI3" s="284"/>
      <c r="AJ3" s="284"/>
      <c r="AK3" s="284"/>
      <c r="AL3" s="284"/>
      <c r="AM3" s="284"/>
      <c r="AN3" s="284"/>
      <c r="AO3" s="284"/>
      <c r="AP3" s="284"/>
      <c r="AQ3" s="284"/>
      <c r="AR3" s="285"/>
      <c r="AS3" s="276" t="s">
        <v>3</v>
      </c>
      <c r="AT3" s="265"/>
    </row>
    <row r="4" spans="1:46" x14ac:dyDescent="0.25">
      <c r="A4" s="282"/>
      <c r="B4" s="273"/>
      <c r="C4" s="255" t="s">
        <v>28</v>
      </c>
      <c r="D4" s="257"/>
      <c r="E4" s="255" t="s">
        <v>5</v>
      </c>
      <c r="F4" s="257"/>
      <c r="G4" s="255" t="s">
        <v>121</v>
      </c>
      <c r="H4" s="257"/>
      <c r="I4" s="255" t="s">
        <v>30</v>
      </c>
      <c r="J4" s="257"/>
      <c r="K4" s="255" t="s">
        <v>31</v>
      </c>
      <c r="L4" s="257"/>
      <c r="M4" s="255" t="s">
        <v>37</v>
      </c>
      <c r="N4" s="257"/>
      <c r="O4" s="271" t="s">
        <v>84</v>
      </c>
      <c r="P4" s="271"/>
      <c r="Q4" s="255" t="s">
        <v>122</v>
      </c>
      <c r="R4" s="257"/>
      <c r="S4" s="255" t="s">
        <v>100</v>
      </c>
      <c r="T4" s="257"/>
      <c r="U4" s="271" t="s">
        <v>85</v>
      </c>
      <c r="V4" s="271"/>
      <c r="W4" s="255" t="s">
        <v>226</v>
      </c>
      <c r="X4" s="257"/>
      <c r="Y4" s="255" t="s">
        <v>99</v>
      </c>
      <c r="Z4" s="257"/>
      <c r="AA4" s="271" t="s">
        <v>86</v>
      </c>
      <c r="AB4" s="271"/>
      <c r="AC4" s="255" t="s">
        <v>42</v>
      </c>
      <c r="AD4" s="257"/>
      <c r="AE4" s="271" t="s">
        <v>32</v>
      </c>
      <c r="AF4" s="271"/>
      <c r="AG4" s="255" t="s">
        <v>101</v>
      </c>
      <c r="AH4" s="257"/>
      <c r="AI4" s="255" t="s">
        <v>123</v>
      </c>
      <c r="AJ4" s="257"/>
      <c r="AK4" s="255" t="s">
        <v>124</v>
      </c>
      <c r="AL4" s="257"/>
      <c r="AM4" s="271" t="s">
        <v>43</v>
      </c>
      <c r="AN4" s="271"/>
      <c r="AO4" s="255" t="s">
        <v>174</v>
      </c>
      <c r="AP4" s="256"/>
      <c r="AQ4" s="281" t="s">
        <v>44</v>
      </c>
      <c r="AR4" s="281"/>
      <c r="AS4" s="277"/>
      <c r="AT4" s="278"/>
    </row>
    <row r="5" spans="1:46" ht="93" customHeight="1" thickBot="1" x14ac:dyDescent="0.3">
      <c r="A5" s="283"/>
      <c r="B5" s="274"/>
      <c r="C5" s="56" t="s">
        <v>29</v>
      </c>
      <c r="D5" s="14" t="s">
        <v>54</v>
      </c>
      <c r="E5" s="56" t="s">
        <v>29</v>
      </c>
      <c r="F5" s="14" t="s">
        <v>54</v>
      </c>
      <c r="G5" s="56" t="s">
        <v>29</v>
      </c>
      <c r="H5" s="14" t="s">
        <v>54</v>
      </c>
      <c r="I5" s="56" t="s">
        <v>29</v>
      </c>
      <c r="J5" s="14" t="s">
        <v>54</v>
      </c>
      <c r="K5" s="56" t="s">
        <v>29</v>
      </c>
      <c r="L5" s="14" t="s">
        <v>54</v>
      </c>
      <c r="M5" s="56" t="s">
        <v>29</v>
      </c>
      <c r="N5" s="14" t="s">
        <v>54</v>
      </c>
      <c r="O5" s="56" t="s">
        <v>29</v>
      </c>
      <c r="P5" s="14" t="s">
        <v>54</v>
      </c>
      <c r="Q5" s="56" t="s">
        <v>29</v>
      </c>
      <c r="R5" s="14" t="s">
        <v>54</v>
      </c>
      <c r="S5" s="56" t="s">
        <v>29</v>
      </c>
      <c r="T5" s="14" t="s">
        <v>54</v>
      </c>
      <c r="U5" s="56" t="s">
        <v>29</v>
      </c>
      <c r="V5" s="14" t="s">
        <v>54</v>
      </c>
      <c r="W5" s="56" t="s">
        <v>29</v>
      </c>
      <c r="X5" s="14" t="s">
        <v>54</v>
      </c>
      <c r="Y5" s="56" t="s">
        <v>29</v>
      </c>
      <c r="Z5" s="14" t="s">
        <v>54</v>
      </c>
      <c r="AA5" s="56" t="s">
        <v>29</v>
      </c>
      <c r="AB5" s="14" t="s">
        <v>54</v>
      </c>
      <c r="AC5" s="56" t="s">
        <v>29</v>
      </c>
      <c r="AD5" s="14" t="s">
        <v>54</v>
      </c>
      <c r="AE5" s="56" t="s">
        <v>29</v>
      </c>
      <c r="AF5" s="14" t="s">
        <v>54</v>
      </c>
      <c r="AG5" s="56" t="s">
        <v>29</v>
      </c>
      <c r="AH5" s="14" t="s">
        <v>54</v>
      </c>
      <c r="AI5" s="56" t="s">
        <v>29</v>
      </c>
      <c r="AJ5" s="14" t="s">
        <v>54</v>
      </c>
      <c r="AK5" s="56" t="s">
        <v>29</v>
      </c>
      <c r="AL5" s="14" t="s">
        <v>54</v>
      </c>
      <c r="AM5" s="56" t="s">
        <v>29</v>
      </c>
      <c r="AN5" s="14" t="s">
        <v>54</v>
      </c>
      <c r="AO5" s="56" t="s">
        <v>29</v>
      </c>
      <c r="AP5" s="14" t="s">
        <v>54</v>
      </c>
      <c r="AQ5" s="56" t="s">
        <v>29</v>
      </c>
      <c r="AR5" s="14" t="s">
        <v>54</v>
      </c>
      <c r="AS5" s="57" t="s">
        <v>29</v>
      </c>
      <c r="AT5" s="14" t="s">
        <v>40</v>
      </c>
    </row>
    <row r="6" spans="1:46" x14ac:dyDescent="0.25">
      <c r="A6" s="286" t="s">
        <v>4</v>
      </c>
      <c r="B6" s="6" t="s">
        <v>33</v>
      </c>
      <c r="C6" s="16"/>
      <c r="D6" s="16"/>
      <c r="E6" s="16"/>
      <c r="F6" s="16"/>
      <c r="G6" s="16"/>
      <c r="H6" s="16"/>
      <c r="I6" s="17"/>
      <c r="J6" s="17"/>
      <c r="K6" s="17"/>
      <c r="L6" s="17"/>
      <c r="M6" s="17"/>
      <c r="N6" s="17"/>
      <c r="O6" s="17"/>
      <c r="P6" s="17"/>
      <c r="Q6" s="17"/>
      <c r="R6" s="17"/>
      <c r="S6" s="17"/>
      <c r="T6" s="17"/>
      <c r="U6" s="17"/>
      <c r="V6" s="17"/>
      <c r="W6" s="17"/>
      <c r="X6" s="17"/>
      <c r="Y6" s="17"/>
      <c r="Z6" s="17"/>
      <c r="AA6" s="17"/>
      <c r="AB6" s="17"/>
      <c r="AC6" s="17"/>
      <c r="AD6" s="17"/>
      <c r="AE6" s="17"/>
      <c r="AF6" s="18"/>
      <c r="AG6" s="18"/>
      <c r="AH6" s="18"/>
      <c r="AI6" s="18"/>
      <c r="AJ6" s="18"/>
      <c r="AK6" s="18"/>
      <c r="AL6" s="18"/>
      <c r="AM6" s="58"/>
      <c r="AN6" s="32"/>
      <c r="AO6" s="17"/>
      <c r="AP6" s="17"/>
      <c r="AQ6" s="17"/>
      <c r="AR6" s="32"/>
      <c r="AS6" s="19"/>
      <c r="AT6" s="17"/>
    </row>
    <row r="7" spans="1:46" ht="15.75" thickBot="1" x14ac:dyDescent="0.3">
      <c r="A7" s="273"/>
      <c r="B7" s="55" t="s">
        <v>87</v>
      </c>
      <c r="C7" s="20"/>
      <c r="D7" s="20"/>
      <c r="E7" s="20">
        <v>1</v>
      </c>
      <c r="F7" s="20">
        <v>1210000</v>
      </c>
      <c r="G7" s="20"/>
      <c r="H7" s="20"/>
      <c r="I7" s="21"/>
      <c r="J7" s="21"/>
      <c r="K7" s="21"/>
      <c r="L7" s="21"/>
      <c r="M7" s="21"/>
      <c r="N7" s="21"/>
      <c r="O7" s="21"/>
      <c r="P7" s="21"/>
      <c r="Q7" s="21"/>
      <c r="R7" s="21"/>
      <c r="S7" s="21"/>
      <c r="T7" s="21"/>
      <c r="U7" s="21"/>
      <c r="V7" s="21"/>
      <c r="W7" s="21"/>
      <c r="X7" s="21"/>
      <c r="Y7" s="21"/>
      <c r="Z7" s="21"/>
      <c r="AA7" s="21"/>
      <c r="AB7" s="21"/>
      <c r="AC7" s="21"/>
      <c r="AD7" s="21"/>
      <c r="AE7" s="21"/>
      <c r="AF7" s="22"/>
      <c r="AG7" s="22"/>
      <c r="AH7" s="22"/>
      <c r="AI7" s="22"/>
      <c r="AJ7" s="22"/>
      <c r="AK7" s="22"/>
      <c r="AL7" s="22"/>
      <c r="AM7" s="21"/>
      <c r="AN7" s="33"/>
      <c r="AO7" s="21"/>
      <c r="AP7" s="21"/>
      <c r="AQ7" s="21"/>
      <c r="AR7" s="33"/>
      <c r="AS7" s="23">
        <f>C7+E7+I7+K7+M7+AE7</f>
        <v>1</v>
      </c>
      <c r="AT7" s="21">
        <f>D7+F7+J7+L7+N7+AF7</f>
        <v>1210000</v>
      </c>
    </row>
    <row r="8" spans="1:46" ht="15.75" thickTop="1" x14ac:dyDescent="0.25">
      <c r="A8" s="275"/>
      <c r="B8" s="15" t="s">
        <v>36</v>
      </c>
      <c r="C8" s="24"/>
      <c r="D8" s="24"/>
      <c r="E8" s="24">
        <f>E7</f>
        <v>1</v>
      </c>
      <c r="F8" s="24">
        <f>F7</f>
        <v>1210000</v>
      </c>
      <c r="G8" s="24"/>
      <c r="H8" s="24"/>
      <c r="I8" s="25"/>
      <c r="J8" s="25"/>
      <c r="K8" s="25"/>
      <c r="L8" s="25"/>
      <c r="M8" s="25"/>
      <c r="N8" s="25"/>
      <c r="O8" s="25"/>
      <c r="P8" s="25"/>
      <c r="Q8" s="25"/>
      <c r="R8" s="25"/>
      <c r="S8" s="25"/>
      <c r="T8" s="25"/>
      <c r="U8" s="25"/>
      <c r="V8" s="25"/>
      <c r="W8" s="25"/>
      <c r="X8" s="25"/>
      <c r="Y8" s="25"/>
      <c r="Z8" s="25"/>
      <c r="AA8" s="25"/>
      <c r="AB8" s="25"/>
      <c r="AC8" s="25"/>
      <c r="AD8" s="25"/>
      <c r="AE8" s="25"/>
      <c r="AF8" s="26"/>
      <c r="AG8" s="26"/>
      <c r="AH8" s="26"/>
      <c r="AI8" s="26"/>
      <c r="AJ8" s="26"/>
      <c r="AK8" s="26"/>
      <c r="AL8" s="26"/>
      <c r="AM8" s="59"/>
      <c r="AN8" s="34"/>
      <c r="AO8" s="25"/>
      <c r="AP8" s="25"/>
      <c r="AQ8" s="59"/>
      <c r="AR8" s="34"/>
      <c r="AS8" s="27">
        <f t="shared" ref="AS8:AT8" si="0">SUM(AS7)</f>
        <v>1</v>
      </c>
      <c r="AT8" s="25">
        <f t="shared" si="0"/>
        <v>1210000</v>
      </c>
    </row>
    <row r="9" spans="1:46" x14ac:dyDescent="0.25">
      <c r="A9" s="272" t="s">
        <v>6</v>
      </c>
      <c r="B9" s="2" t="s">
        <v>33</v>
      </c>
      <c r="C9" s="28"/>
      <c r="D9" s="28"/>
      <c r="E9" s="28"/>
      <c r="F9" s="28"/>
      <c r="G9" s="28"/>
      <c r="H9" s="28"/>
      <c r="I9" s="5">
        <v>1</v>
      </c>
      <c r="J9" s="5">
        <v>865374</v>
      </c>
      <c r="K9" s="5"/>
      <c r="L9" s="5"/>
      <c r="M9" s="5"/>
      <c r="N9" s="5"/>
      <c r="O9" s="5"/>
      <c r="P9" s="5"/>
      <c r="Q9" s="5"/>
      <c r="R9" s="5"/>
      <c r="S9" s="5"/>
      <c r="T9" s="5"/>
      <c r="U9" s="5"/>
      <c r="V9" s="5"/>
      <c r="W9" s="5"/>
      <c r="X9" s="5"/>
      <c r="Y9" s="5"/>
      <c r="Z9" s="5"/>
      <c r="AA9" s="5"/>
      <c r="AB9" s="5"/>
      <c r="AC9" s="5"/>
      <c r="AD9" s="5"/>
      <c r="AE9" s="5"/>
      <c r="AF9" s="29"/>
      <c r="AG9" s="29"/>
      <c r="AH9" s="29"/>
      <c r="AI9" s="29"/>
      <c r="AJ9" s="29"/>
      <c r="AK9" s="29"/>
      <c r="AL9" s="29"/>
      <c r="AM9" s="5"/>
      <c r="AN9" s="35"/>
      <c r="AO9" s="5"/>
      <c r="AP9" s="5"/>
      <c r="AQ9" s="5"/>
      <c r="AR9" s="35"/>
      <c r="AS9" s="30">
        <f>C9+E9+I9+L9+K9+AE9</f>
        <v>1</v>
      </c>
      <c r="AT9" s="5">
        <f>D9+F9+J9+L9+N9+AF9</f>
        <v>865374</v>
      </c>
    </row>
    <row r="10" spans="1:46" ht="15.75" thickBot="1" x14ac:dyDescent="0.3">
      <c r="A10" s="273"/>
      <c r="B10" s="55" t="s">
        <v>87</v>
      </c>
      <c r="C10" s="20"/>
      <c r="D10" s="20"/>
      <c r="E10" s="20"/>
      <c r="F10" s="20"/>
      <c r="G10" s="20"/>
      <c r="H10" s="20"/>
      <c r="I10" s="21"/>
      <c r="J10" s="21"/>
      <c r="K10" s="21"/>
      <c r="L10" s="21"/>
      <c r="M10" s="21"/>
      <c r="N10" s="21"/>
      <c r="O10" s="21"/>
      <c r="P10" s="21"/>
      <c r="Q10" s="21"/>
      <c r="R10" s="21"/>
      <c r="S10" s="21"/>
      <c r="T10" s="21"/>
      <c r="U10" s="21"/>
      <c r="V10" s="21"/>
      <c r="W10" s="21"/>
      <c r="X10" s="21"/>
      <c r="Y10" s="21"/>
      <c r="Z10" s="21"/>
      <c r="AA10" s="21"/>
      <c r="AB10" s="21"/>
      <c r="AC10" s="21"/>
      <c r="AD10" s="21"/>
      <c r="AE10" s="21">
        <v>1</v>
      </c>
      <c r="AF10" s="22">
        <v>1802559</v>
      </c>
      <c r="AG10" s="22"/>
      <c r="AH10" s="22"/>
      <c r="AI10" s="22"/>
      <c r="AJ10" s="22"/>
      <c r="AK10" s="22"/>
      <c r="AL10" s="22"/>
      <c r="AM10" s="21"/>
      <c r="AN10" s="33"/>
      <c r="AO10" s="21"/>
      <c r="AP10" s="21"/>
      <c r="AQ10" s="21"/>
      <c r="AR10" s="33"/>
      <c r="AS10" s="23">
        <f>C10+E10+I10+K10+M10+AE10</f>
        <v>1</v>
      </c>
      <c r="AT10" s="21">
        <f>D10+F10+J10+L10+N10+AF10</f>
        <v>1802559</v>
      </c>
    </row>
    <row r="11" spans="1:46" ht="15.75" thickTop="1" x14ac:dyDescent="0.25">
      <c r="A11" s="275"/>
      <c r="B11" s="15" t="s">
        <v>36</v>
      </c>
      <c r="C11" s="24"/>
      <c r="D11" s="24"/>
      <c r="E11" s="24"/>
      <c r="F11" s="24"/>
      <c r="G11" s="24"/>
      <c r="H11" s="24"/>
      <c r="I11" s="25">
        <f>I9+I10</f>
        <v>1</v>
      </c>
      <c r="J11" s="25">
        <f>J9+J10</f>
        <v>865374</v>
      </c>
      <c r="K11" s="25"/>
      <c r="L11" s="25"/>
      <c r="M11" s="25"/>
      <c r="N11" s="25"/>
      <c r="O11" s="25"/>
      <c r="P11" s="25"/>
      <c r="Q11" s="25"/>
      <c r="R11" s="25"/>
      <c r="S11" s="25"/>
      <c r="T11" s="25"/>
      <c r="U11" s="25"/>
      <c r="V11" s="25"/>
      <c r="W11" s="25"/>
      <c r="X11" s="25"/>
      <c r="Y11" s="25"/>
      <c r="Z11" s="25"/>
      <c r="AA11" s="25"/>
      <c r="AB11" s="25"/>
      <c r="AC11" s="25"/>
      <c r="AD11" s="25"/>
      <c r="AE11" s="25">
        <f>AE9+AE10</f>
        <v>1</v>
      </c>
      <c r="AF11" s="26">
        <f>AF9+AF10</f>
        <v>1802559</v>
      </c>
      <c r="AG11" s="26"/>
      <c r="AH11" s="26"/>
      <c r="AI11" s="26"/>
      <c r="AJ11" s="26"/>
      <c r="AK11" s="26"/>
      <c r="AL11" s="26"/>
      <c r="AM11" s="59"/>
      <c r="AN11" s="34"/>
      <c r="AO11" s="25"/>
      <c r="AP11" s="25"/>
      <c r="AQ11" s="59"/>
      <c r="AR11" s="34"/>
      <c r="AS11" s="27">
        <f t="shared" ref="AS11:AT11" si="1">SUM(AS9:AS10)</f>
        <v>2</v>
      </c>
      <c r="AT11" s="25">
        <f t="shared" si="1"/>
        <v>2667933</v>
      </c>
    </row>
    <row r="12" spans="1:46" x14ac:dyDescent="0.25">
      <c r="A12" s="272" t="s">
        <v>7</v>
      </c>
      <c r="B12" s="2" t="s">
        <v>33</v>
      </c>
      <c r="C12" s="28"/>
      <c r="D12" s="28"/>
      <c r="E12" s="28"/>
      <c r="F12" s="28"/>
      <c r="G12" s="28"/>
      <c r="H12" s="28"/>
      <c r="I12" s="28">
        <v>1</v>
      </c>
      <c r="J12" s="28">
        <v>1107895</v>
      </c>
      <c r="K12" s="28"/>
      <c r="L12" s="28"/>
      <c r="M12" s="28">
        <v>1</v>
      </c>
      <c r="N12" s="28">
        <v>1808322</v>
      </c>
      <c r="O12" s="28"/>
      <c r="P12" s="28"/>
      <c r="Q12" s="28"/>
      <c r="R12" s="28"/>
      <c r="S12" s="28"/>
      <c r="T12" s="28"/>
      <c r="U12" s="28"/>
      <c r="V12" s="28"/>
      <c r="W12" s="28"/>
      <c r="X12" s="28"/>
      <c r="Y12" s="28"/>
      <c r="Z12" s="28"/>
      <c r="AA12" s="28"/>
      <c r="AB12" s="28"/>
      <c r="AC12" s="28"/>
      <c r="AD12" s="28"/>
      <c r="AE12" s="5"/>
      <c r="AF12" s="29"/>
      <c r="AG12" s="29"/>
      <c r="AH12" s="29"/>
      <c r="AI12" s="29"/>
      <c r="AJ12" s="29"/>
      <c r="AK12" s="29"/>
      <c r="AL12" s="29"/>
      <c r="AM12" s="5"/>
      <c r="AN12" s="35"/>
      <c r="AO12" s="5"/>
      <c r="AP12" s="5"/>
      <c r="AQ12" s="5"/>
      <c r="AR12" s="35"/>
      <c r="AS12" s="30">
        <f>C12+E12+I12+K12+M12+AE12</f>
        <v>2</v>
      </c>
      <c r="AT12" s="5">
        <f>D12+F12+J12+L12+N12+AF12</f>
        <v>2916217</v>
      </c>
    </row>
    <row r="13" spans="1:46" ht="15.75" thickBot="1" x14ac:dyDescent="0.3">
      <c r="A13" s="273"/>
      <c r="B13" s="55" t="s">
        <v>87</v>
      </c>
      <c r="C13" s="20"/>
      <c r="D13" s="20"/>
      <c r="E13" s="20">
        <v>2</v>
      </c>
      <c r="F13" s="20">
        <v>2078804</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v>1</v>
      </c>
      <c r="AF13" s="31">
        <v>1310273</v>
      </c>
      <c r="AG13" s="31"/>
      <c r="AH13" s="31"/>
      <c r="AI13" s="31"/>
      <c r="AJ13" s="31"/>
      <c r="AK13" s="31"/>
      <c r="AL13" s="31"/>
      <c r="AM13" s="20"/>
      <c r="AN13" s="36"/>
      <c r="AO13" s="20"/>
      <c r="AP13" s="20"/>
      <c r="AQ13" s="20"/>
      <c r="AR13" s="36"/>
      <c r="AS13" s="23">
        <f>C13+E13+I13+K13+M13+AE13</f>
        <v>3</v>
      </c>
      <c r="AT13" s="21">
        <f>D13+F13+J13+L13+N13+AF13</f>
        <v>3389077</v>
      </c>
    </row>
    <row r="14" spans="1:46" ht="15.75" thickTop="1" x14ac:dyDescent="0.25">
      <c r="A14" s="275"/>
      <c r="B14" s="15" t="s">
        <v>36</v>
      </c>
      <c r="C14" s="24"/>
      <c r="D14" s="24"/>
      <c r="E14" s="24">
        <f>E12+E13</f>
        <v>2</v>
      </c>
      <c r="F14" s="24">
        <f>F12+F13</f>
        <v>2078804</v>
      </c>
      <c r="G14" s="24"/>
      <c r="H14" s="24"/>
      <c r="I14" s="25">
        <f>I12+I13</f>
        <v>1</v>
      </c>
      <c r="J14" s="25">
        <f>J12+J13</f>
        <v>1107895</v>
      </c>
      <c r="K14" s="25"/>
      <c r="L14" s="25"/>
      <c r="M14" s="25">
        <f>M12+M13</f>
        <v>1</v>
      </c>
      <c r="N14" s="25">
        <f>N12+N13</f>
        <v>1808322</v>
      </c>
      <c r="O14" s="25"/>
      <c r="P14" s="25"/>
      <c r="Q14" s="25"/>
      <c r="R14" s="25"/>
      <c r="S14" s="25"/>
      <c r="T14" s="25"/>
      <c r="U14" s="25"/>
      <c r="V14" s="25"/>
      <c r="W14" s="25"/>
      <c r="X14" s="25"/>
      <c r="Y14" s="25"/>
      <c r="Z14" s="25"/>
      <c r="AA14" s="25"/>
      <c r="AB14" s="25"/>
      <c r="AC14" s="25"/>
      <c r="AD14" s="25"/>
      <c r="AE14" s="25">
        <f>AE12+AE13</f>
        <v>1</v>
      </c>
      <c r="AF14" s="26">
        <f>AF12+AF13</f>
        <v>1310273</v>
      </c>
      <c r="AG14" s="26"/>
      <c r="AH14" s="26"/>
      <c r="AI14" s="26"/>
      <c r="AJ14" s="26"/>
      <c r="AK14" s="26"/>
      <c r="AL14" s="26"/>
      <c r="AM14" s="59"/>
      <c r="AN14" s="34"/>
      <c r="AO14" s="25"/>
      <c r="AP14" s="25"/>
      <c r="AQ14" s="59"/>
      <c r="AR14" s="34"/>
      <c r="AS14" s="27">
        <f t="shared" ref="AS14:AT14" si="2">SUM(AS12:AS13)</f>
        <v>5</v>
      </c>
      <c r="AT14" s="25">
        <f t="shared" si="2"/>
        <v>6305294</v>
      </c>
    </row>
    <row r="15" spans="1:46" x14ac:dyDescent="0.25">
      <c r="A15" s="272" t="s">
        <v>8</v>
      </c>
      <c r="B15" s="2" t="s">
        <v>33</v>
      </c>
      <c r="C15" s="5">
        <v>3</v>
      </c>
      <c r="D15" s="5">
        <v>1874295</v>
      </c>
      <c r="E15" s="5"/>
      <c r="F15" s="5"/>
      <c r="G15" s="5"/>
      <c r="H15" s="5"/>
      <c r="I15" s="5">
        <v>2</v>
      </c>
      <c r="J15" s="5">
        <v>9977018</v>
      </c>
      <c r="K15" s="5">
        <v>1</v>
      </c>
      <c r="L15" s="5">
        <v>928750</v>
      </c>
      <c r="M15" s="5"/>
      <c r="N15" s="5"/>
      <c r="O15" s="5"/>
      <c r="P15" s="5"/>
      <c r="Q15" s="5"/>
      <c r="R15" s="5"/>
      <c r="S15" s="5"/>
      <c r="T15" s="5"/>
      <c r="U15" s="5"/>
      <c r="V15" s="5"/>
      <c r="W15" s="5"/>
      <c r="X15" s="5"/>
      <c r="Y15" s="5"/>
      <c r="Z15" s="5"/>
      <c r="AA15" s="5"/>
      <c r="AB15" s="5"/>
      <c r="AC15" s="2"/>
      <c r="AE15" s="5">
        <v>1</v>
      </c>
      <c r="AF15" s="29">
        <v>67367397</v>
      </c>
      <c r="AG15" s="29"/>
      <c r="AH15" s="29"/>
      <c r="AI15" s="29"/>
      <c r="AJ15" s="29"/>
      <c r="AK15" s="29"/>
      <c r="AL15" s="29"/>
      <c r="AM15" s="5"/>
      <c r="AN15" s="35"/>
      <c r="AO15" s="5"/>
      <c r="AP15" s="5"/>
      <c r="AQ15" s="5"/>
      <c r="AR15" s="35"/>
      <c r="AS15" s="30">
        <f>C15+E15+I15+K15+M15+AE15</f>
        <v>7</v>
      </c>
      <c r="AT15" s="5">
        <f>D15+F15+J15+L15+N15+AF15</f>
        <v>80147460</v>
      </c>
    </row>
    <row r="16" spans="1:46" ht="15.75" thickBot="1" x14ac:dyDescent="0.3">
      <c r="A16" s="273"/>
      <c r="B16" s="55" t="s">
        <v>87</v>
      </c>
      <c r="C16" s="21">
        <v>5</v>
      </c>
      <c r="D16" s="21">
        <v>1070850</v>
      </c>
      <c r="E16" s="21">
        <v>1</v>
      </c>
      <c r="F16" s="21">
        <v>1427019</v>
      </c>
      <c r="G16" s="21"/>
      <c r="H16" s="21"/>
      <c r="I16" s="21"/>
      <c r="J16" s="21"/>
      <c r="K16" s="21"/>
      <c r="L16" s="21"/>
      <c r="M16" s="21"/>
      <c r="N16" s="21"/>
      <c r="O16" s="21"/>
      <c r="P16" s="21"/>
      <c r="Q16" s="21"/>
      <c r="R16" s="21"/>
      <c r="S16" s="21"/>
      <c r="T16" s="21"/>
      <c r="U16" s="21"/>
      <c r="V16" s="21"/>
      <c r="W16" s="21"/>
      <c r="X16" s="21"/>
      <c r="Y16" s="21"/>
      <c r="Z16" s="21"/>
      <c r="AA16" s="21"/>
      <c r="AB16" s="21"/>
      <c r="AC16" s="21">
        <v>1</v>
      </c>
      <c r="AD16" s="21">
        <v>462080</v>
      </c>
      <c r="AE16" s="21">
        <v>1</v>
      </c>
      <c r="AF16" s="22">
        <v>6831737</v>
      </c>
      <c r="AG16" s="22"/>
      <c r="AH16" s="22"/>
      <c r="AI16" s="22"/>
      <c r="AJ16" s="22"/>
      <c r="AK16" s="22"/>
      <c r="AL16" s="22"/>
      <c r="AM16" s="21">
        <v>1</v>
      </c>
      <c r="AN16" s="33">
        <v>135000</v>
      </c>
      <c r="AO16" s="21"/>
      <c r="AP16" s="21"/>
      <c r="AQ16" s="21">
        <v>1</v>
      </c>
      <c r="AR16" s="33">
        <v>340300</v>
      </c>
      <c r="AS16" s="23">
        <f>C16+E16+I16+K16+M16+AC16+AE16+AM16+AQ16</f>
        <v>10</v>
      </c>
      <c r="AT16" s="21">
        <f>D16+F16+J16+L16+N16+AD16+AF16+AN16+AR16</f>
        <v>10266986</v>
      </c>
    </row>
    <row r="17" spans="1:46" ht="15.75" thickTop="1" x14ac:dyDescent="0.25">
      <c r="A17" s="275"/>
      <c r="B17" s="15" t="s">
        <v>36</v>
      </c>
      <c r="C17" s="25">
        <f>C16+C15</f>
        <v>8</v>
      </c>
      <c r="D17" s="25">
        <f>D16+D15</f>
        <v>2945145</v>
      </c>
      <c r="E17" s="25">
        <f t="shared" ref="E17:L17" si="3">E15+E16</f>
        <v>1</v>
      </c>
      <c r="F17" s="25">
        <f t="shared" si="3"/>
        <v>1427019</v>
      </c>
      <c r="G17" s="25"/>
      <c r="H17" s="25"/>
      <c r="I17" s="25">
        <f t="shared" si="3"/>
        <v>2</v>
      </c>
      <c r="J17" s="25">
        <f t="shared" si="3"/>
        <v>9977018</v>
      </c>
      <c r="K17" s="25">
        <f t="shared" si="3"/>
        <v>1</v>
      </c>
      <c r="L17" s="25">
        <f t="shared" si="3"/>
        <v>928750</v>
      </c>
      <c r="M17" s="25"/>
      <c r="N17" s="25"/>
      <c r="O17" s="25"/>
      <c r="P17" s="25"/>
      <c r="Q17" s="25"/>
      <c r="R17" s="25"/>
      <c r="S17" s="25"/>
      <c r="T17" s="25"/>
      <c r="U17" s="25"/>
      <c r="V17" s="25"/>
      <c r="W17" s="25"/>
      <c r="X17" s="25"/>
      <c r="Y17" s="25"/>
      <c r="Z17" s="25"/>
      <c r="AA17" s="25"/>
      <c r="AB17" s="25"/>
      <c r="AC17" s="25">
        <f t="shared" ref="AC17:AR17" si="4">AC15+AC16</f>
        <v>1</v>
      </c>
      <c r="AD17" s="25">
        <f t="shared" si="4"/>
        <v>462080</v>
      </c>
      <c r="AE17" s="25">
        <f t="shared" si="4"/>
        <v>2</v>
      </c>
      <c r="AF17" s="26">
        <f t="shared" si="4"/>
        <v>74199134</v>
      </c>
      <c r="AG17" s="26"/>
      <c r="AH17" s="26"/>
      <c r="AI17" s="26"/>
      <c r="AJ17" s="26"/>
      <c r="AK17" s="26"/>
      <c r="AL17" s="26"/>
      <c r="AM17" s="59">
        <f t="shared" si="4"/>
        <v>1</v>
      </c>
      <c r="AN17" s="34">
        <f t="shared" si="4"/>
        <v>135000</v>
      </c>
      <c r="AO17" s="25"/>
      <c r="AP17" s="25"/>
      <c r="AQ17" s="59">
        <f t="shared" si="4"/>
        <v>1</v>
      </c>
      <c r="AR17" s="34">
        <f t="shared" si="4"/>
        <v>340300</v>
      </c>
      <c r="AS17" s="27">
        <f t="shared" ref="AS17:AT17" si="5">SUM(AS15:AS16)</f>
        <v>17</v>
      </c>
      <c r="AT17" s="25">
        <f t="shared" si="5"/>
        <v>90414446</v>
      </c>
    </row>
    <row r="18" spans="1:46" x14ac:dyDescent="0.25">
      <c r="A18" s="263" t="s">
        <v>83</v>
      </c>
      <c r="B18" s="2" t="s">
        <v>33</v>
      </c>
      <c r="C18" s="5">
        <v>2</v>
      </c>
      <c r="D18" s="5">
        <v>2088371</v>
      </c>
      <c r="E18" s="5"/>
      <c r="F18" s="5"/>
      <c r="G18" s="5"/>
      <c r="H18" s="5"/>
      <c r="I18" s="5">
        <v>1</v>
      </c>
      <c r="J18" s="5">
        <v>158665</v>
      </c>
      <c r="K18" s="5"/>
      <c r="L18" s="5"/>
      <c r="M18" s="5"/>
      <c r="N18" s="5"/>
      <c r="O18" s="5">
        <v>1</v>
      </c>
      <c r="P18" s="5">
        <v>904970</v>
      </c>
      <c r="Q18" s="5"/>
      <c r="R18" s="5"/>
      <c r="S18" s="5"/>
      <c r="T18" s="5"/>
      <c r="U18" s="5">
        <v>1</v>
      </c>
      <c r="V18" s="5">
        <v>3980000</v>
      </c>
      <c r="W18" s="5"/>
      <c r="X18" s="5"/>
      <c r="Y18" s="5"/>
      <c r="Z18" s="5"/>
      <c r="AA18" s="5">
        <v>1</v>
      </c>
      <c r="AB18" s="5">
        <v>2366000</v>
      </c>
      <c r="AC18" s="5"/>
      <c r="AD18" s="5"/>
      <c r="AE18" s="5"/>
      <c r="AF18" s="5"/>
      <c r="AG18" s="5"/>
      <c r="AH18" s="5"/>
      <c r="AI18" s="5"/>
      <c r="AJ18" s="5"/>
      <c r="AK18" s="5"/>
      <c r="AL18" s="5"/>
      <c r="AM18" s="5"/>
      <c r="AN18" s="29"/>
      <c r="AO18" s="5"/>
      <c r="AP18" s="5"/>
      <c r="AQ18" s="5">
        <v>1</v>
      </c>
      <c r="AR18" s="109">
        <v>481768</v>
      </c>
      <c r="AS18" s="110">
        <f>C18+E18+I18+K18+M18+O18+U18+AA18+AC18+AE18+AM18+AQ18</f>
        <v>7</v>
      </c>
      <c r="AT18" s="5">
        <f>D18+F18+J18+L18+N18+P18+V18+AB18+AD18+AF18+AN18+AR18</f>
        <v>9979774</v>
      </c>
    </row>
    <row r="19" spans="1:46" ht="15.75" thickBot="1" x14ac:dyDescent="0.3">
      <c r="A19" s="263"/>
      <c r="B19" s="55" t="s">
        <v>87</v>
      </c>
      <c r="C19" s="21">
        <v>1</v>
      </c>
      <c r="D19" s="21">
        <v>583141</v>
      </c>
      <c r="E19" s="21">
        <v>1</v>
      </c>
      <c r="F19" s="21">
        <v>280999</v>
      </c>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2"/>
      <c r="AO19" s="21"/>
      <c r="AP19" s="21"/>
      <c r="AQ19" s="21"/>
      <c r="AR19" s="111"/>
      <c r="AS19" s="112">
        <f>C19+E19</f>
        <v>2</v>
      </c>
      <c r="AT19" s="21">
        <f>D19+F19</f>
        <v>864140</v>
      </c>
    </row>
    <row r="20" spans="1:46" ht="15.75" thickTop="1" x14ac:dyDescent="0.25">
      <c r="A20" s="263"/>
      <c r="B20" s="15" t="s">
        <v>36</v>
      </c>
      <c r="C20" s="25">
        <f>C18+C19</f>
        <v>3</v>
      </c>
      <c r="D20" s="25">
        <f>D19+D18</f>
        <v>2671512</v>
      </c>
      <c r="E20" s="25">
        <f>E19</f>
        <v>1</v>
      </c>
      <c r="F20" s="25">
        <f>F19</f>
        <v>280999</v>
      </c>
      <c r="G20" s="25"/>
      <c r="H20" s="25"/>
      <c r="I20" s="25">
        <f>I18</f>
        <v>1</v>
      </c>
      <c r="J20" s="25">
        <f>J18</f>
        <v>158665</v>
      </c>
      <c r="K20" s="25"/>
      <c r="L20" s="25"/>
      <c r="M20" s="25"/>
      <c r="N20" s="25"/>
      <c r="O20" s="25">
        <f t="shared" ref="O20:AB20" si="6">O18</f>
        <v>1</v>
      </c>
      <c r="P20" s="25">
        <f t="shared" si="6"/>
        <v>904970</v>
      </c>
      <c r="Q20" s="25"/>
      <c r="R20" s="25"/>
      <c r="S20" s="25"/>
      <c r="T20" s="25"/>
      <c r="U20" s="25">
        <f t="shared" si="6"/>
        <v>1</v>
      </c>
      <c r="V20" s="25">
        <f t="shared" si="6"/>
        <v>3980000</v>
      </c>
      <c r="W20" s="25"/>
      <c r="X20" s="25"/>
      <c r="Y20" s="25"/>
      <c r="Z20" s="25"/>
      <c r="AA20" s="25">
        <f t="shared" si="6"/>
        <v>1</v>
      </c>
      <c r="AB20" s="25">
        <f t="shared" si="6"/>
        <v>2366000</v>
      </c>
      <c r="AC20" s="25"/>
      <c r="AD20" s="25"/>
      <c r="AE20" s="25"/>
      <c r="AF20" s="25"/>
      <c r="AG20" s="25"/>
      <c r="AH20" s="25"/>
      <c r="AI20" s="25"/>
      <c r="AJ20" s="25"/>
      <c r="AK20" s="25"/>
      <c r="AL20" s="25"/>
      <c r="AM20" s="25"/>
      <c r="AN20" s="26"/>
      <c r="AO20" s="25"/>
      <c r="AP20" s="25"/>
      <c r="AQ20" s="25">
        <f>AQ18</f>
        <v>1</v>
      </c>
      <c r="AR20" s="113">
        <f>AR18</f>
        <v>481768</v>
      </c>
      <c r="AS20" s="114">
        <f>AS19+AS18</f>
        <v>9</v>
      </c>
      <c r="AT20" s="25">
        <f>AT19+AT18</f>
        <v>10843914</v>
      </c>
    </row>
    <row r="21" spans="1:46" x14ac:dyDescent="0.25">
      <c r="A21" s="263" t="s">
        <v>97</v>
      </c>
      <c r="B21" s="2" t="s">
        <v>33</v>
      </c>
      <c r="C21" s="5">
        <f>1+1+1+1+1+1</f>
        <v>6</v>
      </c>
      <c r="D21" s="5">
        <f>1199184+885950+215568+6170234+19140+30000</f>
        <v>8520076</v>
      </c>
      <c r="E21" s="5"/>
      <c r="F21" s="5"/>
      <c r="G21" s="5"/>
      <c r="H21" s="5"/>
      <c r="I21" s="5">
        <f>1+1</f>
        <v>2</v>
      </c>
      <c r="J21" s="5">
        <f>159983+1099174</f>
        <v>1259157</v>
      </c>
      <c r="K21" s="5"/>
      <c r="L21" s="5"/>
      <c r="M21" s="5">
        <v>1</v>
      </c>
      <c r="N21" s="5">
        <v>5525888</v>
      </c>
      <c r="O21" s="5">
        <f>1+1+1</f>
        <v>3</v>
      </c>
      <c r="P21" s="5">
        <f>491000+418000+1238058</f>
        <v>2147058</v>
      </c>
      <c r="Q21" s="5"/>
      <c r="R21" s="5"/>
      <c r="S21" s="5">
        <v>1</v>
      </c>
      <c r="T21" s="5">
        <v>896283</v>
      </c>
      <c r="U21" s="5">
        <f>1+1</f>
        <v>2</v>
      </c>
      <c r="V21" s="5">
        <f>1236436+37924</f>
        <v>1274360</v>
      </c>
      <c r="W21" s="5"/>
      <c r="X21" s="5"/>
      <c r="Y21" s="5">
        <v>1</v>
      </c>
      <c r="Z21" s="5">
        <v>418000</v>
      </c>
      <c r="AA21" s="5"/>
      <c r="AB21" s="5"/>
      <c r="AC21" s="5">
        <v>1</v>
      </c>
      <c r="AD21" s="5">
        <v>555184</v>
      </c>
      <c r="AE21" s="5">
        <f>1+1</f>
        <v>2</v>
      </c>
      <c r="AF21" s="5">
        <f>440000+484928</f>
        <v>924928</v>
      </c>
      <c r="AG21" s="5">
        <v>1</v>
      </c>
      <c r="AH21" s="5">
        <v>1183005</v>
      </c>
      <c r="AI21" s="5"/>
      <c r="AJ21" s="5"/>
      <c r="AK21" s="5"/>
      <c r="AL21" s="5"/>
      <c r="AM21" s="5"/>
      <c r="AN21" s="29"/>
      <c r="AO21" s="5"/>
      <c r="AP21" s="5"/>
      <c r="AQ21" s="5"/>
      <c r="AR21" s="109"/>
      <c r="AS21" s="110">
        <f>C21+I21+M21+O21+S21+U21+Y21+AC21+AE21+AG21</f>
        <v>20</v>
      </c>
      <c r="AT21" s="5">
        <f>D21+J21+N21+P21+T21+V21+Z21+AD21+AF21+AH21</f>
        <v>22703939</v>
      </c>
    </row>
    <row r="22" spans="1:46" ht="15.75" thickBot="1" x14ac:dyDescent="0.3">
      <c r="A22" s="263"/>
      <c r="B22" s="55" t="s">
        <v>87</v>
      </c>
      <c r="C22" s="21">
        <v>1</v>
      </c>
      <c r="D22" s="21">
        <v>1400826</v>
      </c>
      <c r="E22" s="21">
        <v>1</v>
      </c>
      <c r="F22" s="21">
        <v>1751160</v>
      </c>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2"/>
      <c r="AO22" s="21"/>
      <c r="AP22" s="21"/>
      <c r="AQ22" s="21"/>
      <c r="AR22" s="111"/>
      <c r="AS22" s="112">
        <f>C22+E22</f>
        <v>2</v>
      </c>
      <c r="AT22" s="21">
        <f>D22+F22</f>
        <v>3151986</v>
      </c>
    </row>
    <row r="23" spans="1:46" ht="15.75" thickTop="1" x14ac:dyDescent="0.25">
      <c r="A23" s="263"/>
      <c r="B23" s="15" t="s">
        <v>36</v>
      </c>
      <c r="C23" s="25">
        <f>C21+C22</f>
        <v>7</v>
      </c>
      <c r="D23" s="25">
        <f>D22+D21</f>
        <v>9920902</v>
      </c>
      <c r="E23" s="25">
        <f>E22</f>
        <v>1</v>
      </c>
      <c r="F23" s="25">
        <f>F22</f>
        <v>1751160</v>
      </c>
      <c r="G23" s="25"/>
      <c r="H23" s="25"/>
      <c r="I23" s="25">
        <f>I21</f>
        <v>2</v>
      </c>
      <c r="J23" s="25">
        <f>J21</f>
        <v>1259157</v>
      </c>
      <c r="K23" s="25"/>
      <c r="L23" s="25"/>
      <c r="M23" s="25">
        <f>M21</f>
        <v>1</v>
      </c>
      <c r="N23" s="25">
        <f>N21</f>
        <v>5525888</v>
      </c>
      <c r="O23" s="25">
        <f t="shared" ref="O23:V23" si="7">O21</f>
        <v>3</v>
      </c>
      <c r="P23" s="25">
        <f t="shared" si="7"/>
        <v>2147058</v>
      </c>
      <c r="Q23" s="25"/>
      <c r="R23" s="25"/>
      <c r="S23" s="25">
        <f>S21</f>
        <v>1</v>
      </c>
      <c r="T23" s="25">
        <f>T21</f>
        <v>896283</v>
      </c>
      <c r="U23" s="25">
        <f t="shared" si="7"/>
        <v>2</v>
      </c>
      <c r="V23" s="25">
        <f t="shared" si="7"/>
        <v>1274360</v>
      </c>
      <c r="W23" s="25"/>
      <c r="X23" s="25"/>
      <c r="Y23" s="25">
        <f>Y21</f>
        <v>1</v>
      </c>
      <c r="Z23" s="25">
        <f>Z21</f>
        <v>418000</v>
      </c>
      <c r="AA23" s="25"/>
      <c r="AB23" s="25"/>
      <c r="AC23" s="25">
        <f t="shared" ref="AC23:AH23" si="8">AC21</f>
        <v>1</v>
      </c>
      <c r="AD23" s="25">
        <f t="shared" si="8"/>
        <v>555184</v>
      </c>
      <c r="AE23" s="25">
        <f t="shared" si="8"/>
        <v>2</v>
      </c>
      <c r="AF23" s="25">
        <f t="shared" si="8"/>
        <v>924928</v>
      </c>
      <c r="AG23" s="25">
        <f t="shared" si="8"/>
        <v>1</v>
      </c>
      <c r="AH23" s="25">
        <f t="shared" si="8"/>
        <v>1183005</v>
      </c>
      <c r="AI23" s="25"/>
      <c r="AJ23" s="25"/>
      <c r="AK23" s="25"/>
      <c r="AL23" s="25"/>
      <c r="AM23" s="25"/>
      <c r="AN23" s="26"/>
      <c r="AO23" s="25"/>
      <c r="AP23" s="25"/>
      <c r="AQ23" s="25"/>
      <c r="AR23" s="113"/>
      <c r="AS23" s="114">
        <f>AS22+AS21</f>
        <v>22</v>
      </c>
      <c r="AT23" s="25">
        <f>AT22+AT21</f>
        <v>25855925</v>
      </c>
    </row>
    <row r="24" spans="1:46" x14ac:dyDescent="0.25">
      <c r="A24" s="263" t="s">
        <v>119</v>
      </c>
      <c r="B24" t="s">
        <v>120</v>
      </c>
      <c r="C24" s="5">
        <v>1</v>
      </c>
      <c r="D24" s="139">
        <v>12650000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29"/>
      <c r="AO24" s="5"/>
      <c r="AP24" s="5"/>
      <c r="AQ24" s="5"/>
      <c r="AR24" s="109"/>
      <c r="AS24" s="110">
        <f>C24</f>
        <v>1</v>
      </c>
      <c r="AT24" s="5">
        <f>D24</f>
        <v>12650000</v>
      </c>
    </row>
    <row r="25" spans="1:46" x14ac:dyDescent="0.25">
      <c r="A25" s="263"/>
      <c r="B25" s="2" t="s">
        <v>33</v>
      </c>
      <c r="C25" s="115">
        <v>6</v>
      </c>
      <c r="D25" s="115">
        <v>2391808</v>
      </c>
      <c r="E25" s="115"/>
      <c r="F25" s="115"/>
      <c r="G25" s="140">
        <v>2</v>
      </c>
      <c r="H25" s="140">
        <v>2146090</v>
      </c>
      <c r="I25" s="140">
        <v>1</v>
      </c>
      <c r="J25" s="140">
        <v>5764500</v>
      </c>
      <c r="K25" s="115"/>
      <c r="L25" s="115"/>
      <c r="M25" s="115"/>
      <c r="N25" s="115"/>
      <c r="O25" s="140">
        <v>1</v>
      </c>
      <c r="P25" s="140">
        <v>3844000</v>
      </c>
      <c r="Q25" s="140">
        <v>1</v>
      </c>
      <c r="R25" s="140">
        <v>586776</v>
      </c>
      <c r="S25" s="115"/>
      <c r="T25" s="115"/>
      <c r="U25" s="115"/>
      <c r="V25" s="115"/>
      <c r="W25" s="115"/>
      <c r="X25" s="115"/>
      <c r="Y25" s="115"/>
      <c r="Z25" s="115"/>
      <c r="AA25" s="115"/>
      <c r="AB25" s="115"/>
      <c r="AC25" s="140">
        <v>3</v>
      </c>
      <c r="AD25" s="140">
        <v>6219562</v>
      </c>
      <c r="AE25" s="115"/>
      <c r="AF25" s="115"/>
      <c r="AG25" s="115"/>
      <c r="AH25" s="115"/>
      <c r="AI25" s="140">
        <v>1</v>
      </c>
      <c r="AJ25" s="140">
        <v>3217206</v>
      </c>
      <c r="AK25" s="115"/>
      <c r="AL25" s="115"/>
      <c r="AM25" s="115"/>
      <c r="AN25" s="157"/>
      <c r="AO25" s="5"/>
      <c r="AP25" s="5"/>
      <c r="AQ25" s="140">
        <v>1</v>
      </c>
      <c r="AR25" s="141">
        <v>1289256</v>
      </c>
      <c r="AS25" s="133">
        <f>AQ25+AI25+AC25+Q25+O25+I25+G25+C25</f>
        <v>16</v>
      </c>
      <c r="AT25" s="115">
        <f>AR25+AJ25+AD25+R25+P25+J25+H25+D25</f>
        <v>25459198</v>
      </c>
    </row>
    <row r="26" spans="1:46" ht="15.75" thickBot="1" x14ac:dyDescent="0.3">
      <c r="A26" s="263"/>
      <c r="B26" s="55" t="s">
        <v>87</v>
      </c>
      <c r="C26" s="142">
        <v>5</v>
      </c>
      <c r="D26" s="142">
        <v>2662160</v>
      </c>
      <c r="E26" s="142">
        <v>2</v>
      </c>
      <c r="F26" s="142">
        <v>399120</v>
      </c>
      <c r="G26" s="21"/>
      <c r="H26" s="21"/>
      <c r="I26" s="21"/>
      <c r="J26" s="21"/>
      <c r="K26" s="21"/>
      <c r="L26" s="21"/>
      <c r="M26" s="21"/>
      <c r="N26" s="21"/>
      <c r="O26" s="21"/>
      <c r="P26" s="142"/>
      <c r="Q26" s="142"/>
      <c r="R26" s="142"/>
      <c r="S26" s="142"/>
      <c r="T26" s="142"/>
      <c r="U26" s="142"/>
      <c r="V26" s="142"/>
      <c r="W26" s="142"/>
      <c r="X26" s="142"/>
      <c r="Y26" s="142"/>
      <c r="Z26" s="142"/>
      <c r="AA26" s="142"/>
      <c r="AB26" s="142"/>
      <c r="AC26" s="142"/>
      <c r="AD26" s="142"/>
      <c r="AE26" s="142">
        <v>1</v>
      </c>
      <c r="AF26" s="142">
        <v>4462809</v>
      </c>
      <c r="AG26" s="142"/>
      <c r="AH26" s="142"/>
      <c r="AI26" s="142"/>
      <c r="AJ26" s="142"/>
      <c r="AK26" s="142">
        <v>3</v>
      </c>
      <c r="AL26" s="142">
        <v>36760593</v>
      </c>
      <c r="AM26" s="21"/>
      <c r="AN26" s="22"/>
      <c r="AO26" s="21"/>
      <c r="AP26" s="21"/>
      <c r="AQ26" s="21"/>
      <c r="AR26" s="111"/>
      <c r="AS26" s="112">
        <f>AK26+AE26+E26+C26</f>
        <v>11</v>
      </c>
      <c r="AT26" s="21">
        <f>AL26+AF26+F26+D26</f>
        <v>44284682</v>
      </c>
    </row>
    <row r="27" spans="1:46" ht="15.75" thickTop="1" x14ac:dyDescent="0.25">
      <c r="A27" s="263"/>
      <c r="B27" s="15" t="s">
        <v>36</v>
      </c>
      <c r="C27" s="25">
        <f>C24+C25+C26</f>
        <v>12</v>
      </c>
      <c r="D27" s="25">
        <f>D24+D25+D26</f>
        <v>17703968</v>
      </c>
      <c r="E27" s="25">
        <f>E26</f>
        <v>2</v>
      </c>
      <c r="F27" s="25">
        <f>F26</f>
        <v>399120</v>
      </c>
      <c r="G27" s="25">
        <f>G25</f>
        <v>2</v>
      </c>
      <c r="H27" s="25">
        <f>H25</f>
        <v>2146090</v>
      </c>
      <c r="I27" s="25">
        <f>I25</f>
        <v>1</v>
      </c>
      <c r="J27" s="25">
        <f>J25</f>
        <v>5764500</v>
      </c>
      <c r="K27" s="25"/>
      <c r="L27" s="25"/>
      <c r="M27" s="25"/>
      <c r="N27" s="25">
        <f>N24</f>
        <v>0</v>
      </c>
      <c r="O27" s="25">
        <f>O25</f>
        <v>1</v>
      </c>
      <c r="P27" s="25">
        <f>P25</f>
        <v>3844000</v>
      </c>
      <c r="Q27" s="25">
        <f>Q25</f>
        <v>1</v>
      </c>
      <c r="R27" s="25">
        <f>R25</f>
        <v>586776</v>
      </c>
      <c r="S27" s="25"/>
      <c r="T27" s="25"/>
      <c r="U27" s="25"/>
      <c r="V27" s="25"/>
      <c r="W27" s="25"/>
      <c r="X27" s="25"/>
      <c r="Y27" s="25"/>
      <c r="Z27" s="25"/>
      <c r="AA27" s="25"/>
      <c r="AB27" s="25"/>
      <c r="AC27" s="25">
        <f>AC25</f>
        <v>3</v>
      </c>
      <c r="AD27" s="25">
        <f>AD25</f>
        <v>6219562</v>
      </c>
      <c r="AE27" s="25">
        <f>AE26</f>
        <v>1</v>
      </c>
      <c r="AF27" s="25">
        <f>AF26</f>
        <v>4462809</v>
      </c>
      <c r="AG27" s="25">
        <f t="shared" ref="AG27:AH27" si="9">AG24</f>
        <v>0</v>
      </c>
      <c r="AH27" s="25">
        <f t="shared" si="9"/>
        <v>0</v>
      </c>
      <c r="AI27" s="25">
        <f>AI25</f>
        <v>1</v>
      </c>
      <c r="AJ27" s="25">
        <f>AJ25</f>
        <v>3217206</v>
      </c>
      <c r="AK27" s="25">
        <f>AK26</f>
        <v>3</v>
      </c>
      <c r="AL27" s="25">
        <f>AL26</f>
        <v>36760593</v>
      </c>
      <c r="AM27" s="25"/>
      <c r="AN27" s="26"/>
      <c r="AO27" s="25"/>
      <c r="AP27" s="25"/>
      <c r="AQ27" s="25">
        <f>AQ25</f>
        <v>1</v>
      </c>
      <c r="AR27" s="113">
        <f>AR25</f>
        <v>1289256</v>
      </c>
      <c r="AS27" s="114">
        <f>AS24+AS25+AS26</f>
        <v>28</v>
      </c>
      <c r="AT27" s="25">
        <f>AT24+AT25+AT26</f>
        <v>82393880</v>
      </c>
    </row>
    <row r="28" spans="1:46" x14ac:dyDescent="0.25">
      <c r="A28" s="263" t="s">
        <v>134</v>
      </c>
      <c r="B28" t="s">
        <v>120</v>
      </c>
      <c r="C28" s="2">
        <v>1</v>
      </c>
      <c r="D28" s="115">
        <v>5849839</v>
      </c>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39"/>
      <c r="AO28" s="2"/>
      <c r="AP28" s="2"/>
      <c r="AQ28" s="2"/>
      <c r="AR28" s="39"/>
      <c r="AS28" s="149">
        <f>C28</f>
        <v>1</v>
      </c>
      <c r="AT28" s="115">
        <f>D28</f>
        <v>5849839</v>
      </c>
    </row>
    <row r="29" spans="1:46" ht="15.75" thickBot="1" x14ac:dyDescent="0.3">
      <c r="A29" s="263"/>
      <c r="B29" s="2" t="s">
        <v>33</v>
      </c>
      <c r="C29" s="2">
        <v>3</v>
      </c>
      <c r="D29" s="115">
        <v>3986546</v>
      </c>
      <c r="E29" s="2"/>
      <c r="F29" s="2"/>
      <c r="G29" s="2"/>
      <c r="H29" s="2"/>
      <c r="I29" s="2"/>
      <c r="J29" s="2"/>
      <c r="K29" s="2"/>
      <c r="L29" s="2"/>
      <c r="M29" s="2"/>
      <c r="N29" s="2"/>
      <c r="O29" s="2"/>
      <c r="P29" s="2"/>
      <c r="Q29" s="2"/>
      <c r="R29" s="2"/>
      <c r="S29" s="2">
        <v>1</v>
      </c>
      <c r="T29" s="140">
        <v>5697997</v>
      </c>
      <c r="U29" s="2"/>
      <c r="V29" s="2"/>
      <c r="W29" s="2"/>
      <c r="X29" s="2"/>
      <c r="Y29" s="2"/>
      <c r="Z29" s="2"/>
      <c r="AA29" s="2"/>
      <c r="AB29" s="2"/>
      <c r="AC29" s="2">
        <v>2</v>
      </c>
      <c r="AD29" s="140">
        <v>13475608</v>
      </c>
      <c r="AE29" s="2"/>
      <c r="AF29" s="2"/>
      <c r="AG29" s="2"/>
      <c r="AH29" s="2"/>
      <c r="AI29" s="2"/>
      <c r="AJ29" s="2"/>
      <c r="AK29" s="2"/>
      <c r="AL29" s="2"/>
      <c r="AM29" s="2"/>
      <c r="AN29" s="39"/>
      <c r="AO29" s="2"/>
      <c r="AP29" s="2"/>
      <c r="AQ29" s="2"/>
      <c r="AR29" s="39"/>
      <c r="AS29" s="149">
        <f>AC29+S29+C29</f>
        <v>6</v>
      </c>
      <c r="AT29" s="115">
        <f>AD29+T29+D29</f>
        <v>23160151</v>
      </c>
    </row>
    <row r="30" spans="1:46" ht="16.5" thickTop="1" thickBot="1" x14ac:dyDescent="0.3">
      <c r="A30" s="263"/>
      <c r="B30" s="55" t="s">
        <v>87</v>
      </c>
      <c r="C30" s="87">
        <v>3</v>
      </c>
      <c r="D30" s="165">
        <v>3036864</v>
      </c>
      <c r="E30" s="46"/>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87"/>
      <c r="AO30" s="11">
        <v>1</v>
      </c>
      <c r="AP30" s="142">
        <v>700000</v>
      </c>
      <c r="AQ30" s="11"/>
      <c r="AR30" s="87"/>
      <c r="AS30" s="150">
        <f>AO30+C30</f>
        <v>4</v>
      </c>
      <c r="AT30" s="21">
        <f>AP30+D30</f>
        <v>3736864</v>
      </c>
    </row>
    <row r="31" spans="1:46" ht="16.5" thickTop="1" thickBot="1" x14ac:dyDescent="0.3">
      <c r="A31" s="263"/>
      <c r="B31" s="15" t="s">
        <v>36</v>
      </c>
      <c r="C31" s="168">
        <f>C30+C29+C28</f>
        <v>7</v>
      </c>
      <c r="D31" s="169">
        <f>D30+D29+D28</f>
        <v>12873249</v>
      </c>
      <c r="E31" s="164"/>
      <c r="F31" s="147"/>
      <c r="G31" s="147"/>
      <c r="H31" s="147"/>
      <c r="I31" s="147"/>
      <c r="J31" s="147"/>
      <c r="K31" s="147"/>
      <c r="L31" s="147"/>
      <c r="M31" s="147"/>
      <c r="N31" s="147"/>
      <c r="O31" s="147"/>
      <c r="P31" s="147"/>
      <c r="Q31" s="147"/>
      <c r="R31" s="147"/>
      <c r="S31" s="170">
        <f>S29</f>
        <v>1</v>
      </c>
      <c r="T31" s="171">
        <f>T29</f>
        <v>5697997</v>
      </c>
      <c r="U31" s="147"/>
      <c r="V31" s="147"/>
      <c r="W31" s="147"/>
      <c r="X31" s="147"/>
      <c r="Y31" s="147"/>
      <c r="Z31" s="147"/>
      <c r="AA31" s="147"/>
      <c r="AB31" s="147"/>
      <c r="AC31" s="170">
        <f>AC29</f>
        <v>2</v>
      </c>
      <c r="AD31" s="171">
        <f>AD29</f>
        <v>13475608</v>
      </c>
      <c r="AE31" s="147"/>
      <c r="AF31" s="147"/>
      <c r="AG31" s="147"/>
      <c r="AH31" s="147"/>
      <c r="AI31" s="147"/>
      <c r="AJ31" s="147"/>
      <c r="AK31" s="147"/>
      <c r="AL31" s="147"/>
      <c r="AM31" s="147"/>
      <c r="AN31" s="148"/>
      <c r="AO31" s="170">
        <f>AO30</f>
        <v>1</v>
      </c>
      <c r="AP31" s="171">
        <f>AP30</f>
        <v>700000</v>
      </c>
      <c r="AQ31" s="147"/>
      <c r="AR31" s="148"/>
      <c r="AS31" s="173">
        <f>AS30+AS29+AS28</f>
        <v>11</v>
      </c>
      <c r="AT31" s="25">
        <f>AT28+AT29+AT30</f>
        <v>32746854</v>
      </c>
    </row>
    <row r="32" spans="1:46" ht="15.75" thickTop="1" x14ac:dyDescent="0.25">
      <c r="A32" s="263" t="s">
        <v>208</v>
      </c>
      <c r="B32" t="s">
        <v>120</v>
      </c>
      <c r="C32" s="2">
        <v>0</v>
      </c>
      <c r="D32" s="115">
        <v>0</v>
      </c>
      <c r="E32" s="2"/>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29"/>
      <c r="AO32" s="5"/>
      <c r="AP32" s="5"/>
      <c r="AQ32" s="5"/>
      <c r="AR32" s="29"/>
      <c r="AS32" s="30">
        <f>C32</f>
        <v>0</v>
      </c>
      <c r="AT32" s="115">
        <f>D32</f>
        <v>0</v>
      </c>
    </row>
    <row r="33" spans="1:46" ht="15.75" thickBot="1" x14ac:dyDescent="0.3">
      <c r="A33" s="263"/>
      <c r="B33" s="2" t="s">
        <v>33</v>
      </c>
      <c r="C33" s="2">
        <v>7</v>
      </c>
      <c r="D33" s="115">
        <v>26613767</v>
      </c>
      <c r="E33" s="2"/>
      <c r="F33" s="5"/>
      <c r="G33" s="5"/>
      <c r="H33" s="5"/>
      <c r="I33" s="5"/>
      <c r="J33" s="5"/>
      <c r="K33" s="5">
        <v>1</v>
      </c>
      <c r="L33" s="5">
        <v>23969624</v>
      </c>
      <c r="M33" s="5"/>
      <c r="N33" s="5"/>
      <c r="O33" s="5"/>
      <c r="P33" s="5"/>
      <c r="Q33" s="5"/>
      <c r="R33" s="5"/>
      <c r="S33" s="5"/>
      <c r="T33" s="140"/>
      <c r="U33" s="5"/>
      <c r="V33" s="5"/>
      <c r="W33" s="5"/>
      <c r="X33" s="5"/>
      <c r="Y33" s="5"/>
      <c r="Z33" s="5"/>
      <c r="AA33" s="5"/>
      <c r="AB33" s="5"/>
      <c r="AC33" s="5"/>
      <c r="AD33" s="140"/>
      <c r="AE33" s="5">
        <v>2</v>
      </c>
      <c r="AF33" s="5">
        <v>17739579</v>
      </c>
      <c r="AG33" s="5"/>
      <c r="AH33" s="5"/>
      <c r="AI33" s="5"/>
      <c r="AJ33" s="5"/>
      <c r="AK33" s="5"/>
      <c r="AL33" s="5"/>
      <c r="AM33" s="5"/>
      <c r="AN33" s="29"/>
      <c r="AO33" s="5"/>
      <c r="AP33" s="5"/>
      <c r="AQ33" s="5"/>
      <c r="AR33" s="29"/>
      <c r="AS33" s="30">
        <f>AE33+K33+C33</f>
        <v>10</v>
      </c>
      <c r="AT33" s="115">
        <f>AF33+L33+D33</f>
        <v>68322970</v>
      </c>
    </row>
    <row r="34" spans="1:46" ht="16.5" thickTop="1" thickBot="1" x14ac:dyDescent="0.3">
      <c r="A34" s="263"/>
      <c r="B34" s="55" t="s">
        <v>87</v>
      </c>
      <c r="C34" s="87">
        <v>3</v>
      </c>
      <c r="D34" s="165">
        <v>16182233</v>
      </c>
      <c r="E34" s="46"/>
      <c r="F34" s="21"/>
      <c r="G34" s="21"/>
      <c r="H34" s="21"/>
      <c r="I34" s="21">
        <v>1</v>
      </c>
      <c r="J34" s="21">
        <v>5518600</v>
      </c>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2"/>
      <c r="AO34" s="21"/>
      <c r="AP34" s="142"/>
      <c r="AQ34" s="21"/>
      <c r="AR34" s="22"/>
      <c r="AS34" s="23">
        <f>I34+C34</f>
        <v>4</v>
      </c>
      <c r="AT34" s="21">
        <f>J34+D34</f>
        <v>21700833</v>
      </c>
    </row>
    <row r="35" spans="1:46" ht="15.75" thickTop="1" x14ac:dyDescent="0.25">
      <c r="A35" s="263"/>
      <c r="B35" s="15" t="s">
        <v>36</v>
      </c>
      <c r="C35" s="195">
        <f>C33+C34</f>
        <v>10</v>
      </c>
      <c r="D35" s="196">
        <f>D34+D33+D32</f>
        <v>42796000</v>
      </c>
      <c r="E35" s="164"/>
      <c r="F35" s="192"/>
      <c r="G35" s="192"/>
      <c r="H35" s="192"/>
      <c r="I35" s="171">
        <f>I34</f>
        <v>1</v>
      </c>
      <c r="J35" s="171">
        <f>J34</f>
        <v>5518600</v>
      </c>
      <c r="K35" s="171">
        <f>K33</f>
        <v>1</v>
      </c>
      <c r="L35" s="171">
        <f>L33</f>
        <v>23969624</v>
      </c>
      <c r="M35" s="192"/>
      <c r="N35" s="192"/>
      <c r="O35" s="192"/>
      <c r="P35" s="192"/>
      <c r="Q35" s="192"/>
      <c r="R35" s="192"/>
      <c r="S35" s="171"/>
      <c r="T35" s="171"/>
      <c r="U35" s="192"/>
      <c r="V35" s="192"/>
      <c r="W35" s="192"/>
      <c r="X35" s="192"/>
      <c r="Y35" s="192"/>
      <c r="Z35" s="192"/>
      <c r="AA35" s="192"/>
      <c r="AB35" s="192"/>
      <c r="AC35" s="171"/>
      <c r="AD35" s="171"/>
      <c r="AE35" s="171">
        <f>AE33</f>
        <v>2</v>
      </c>
      <c r="AF35" s="171">
        <f>AF33</f>
        <v>17739579</v>
      </c>
      <c r="AG35" s="192"/>
      <c r="AH35" s="192"/>
      <c r="AI35" s="192"/>
      <c r="AJ35" s="192"/>
      <c r="AK35" s="192"/>
      <c r="AL35" s="192"/>
      <c r="AM35" s="192"/>
      <c r="AN35" s="193"/>
      <c r="AO35" s="171"/>
      <c r="AP35" s="171"/>
      <c r="AQ35" s="192"/>
      <c r="AR35" s="193"/>
      <c r="AS35" s="194">
        <f>AS34+AS33+AS32</f>
        <v>14</v>
      </c>
      <c r="AT35" s="25">
        <f>AT32+AT33+AT34</f>
        <v>90023803</v>
      </c>
    </row>
    <row r="36" spans="1:46" x14ac:dyDescent="0.25">
      <c r="A36" s="263" t="s">
        <v>219</v>
      </c>
      <c r="B36" t="s">
        <v>120</v>
      </c>
      <c r="C36" s="121">
        <v>1</v>
      </c>
      <c r="D36" s="137">
        <v>6791716</v>
      </c>
      <c r="E36" s="121"/>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5"/>
      <c r="AF36" s="5"/>
      <c r="AG36" s="5"/>
      <c r="AH36" s="5"/>
      <c r="AI36" s="5"/>
      <c r="AJ36" s="5"/>
      <c r="AK36" s="5"/>
      <c r="AL36" s="5"/>
      <c r="AM36" s="5"/>
      <c r="AN36" s="29"/>
      <c r="AO36" s="5"/>
      <c r="AP36" s="5"/>
      <c r="AQ36" s="5"/>
      <c r="AR36" s="29"/>
      <c r="AS36" s="30">
        <f>C36</f>
        <v>1</v>
      </c>
      <c r="AT36" s="115">
        <f>D36</f>
        <v>6791716</v>
      </c>
    </row>
    <row r="37" spans="1:46" ht="15.75" thickBot="1" x14ac:dyDescent="0.3">
      <c r="A37" s="263"/>
      <c r="B37" s="2" t="s">
        <v>33</v>
      </c>
      <c r="C37" s="121">
        <f>12</f>
        <v>12</v>
      </c>
      <c r="D37" s="137">
        <f>353719+2982381+1792690+428000+446495+743351+337012</f>
        <v>7083648</v>
      </c>
      <c r="E37" s="121"/>
      <c r="F37" s="127"/>
      <c r="G37" s="127"/>
      <c r="H37" s="127"/>
      <c r="I37" s="127"/>
      <c r="J37" s="127"/>
      <c r="K37" s="127"/>
      <c r="L37" s="127"/>
      <c r="M37" s="127"/>
      <c r="N37" s="127"/>
      <c r="O37" s="127">
        <v>1</v>
      </c>
      <c r="P37" s="127">
        <v>6371901</v>
      </c>
      <c r="Q37" s="127">
        <v>1</v>
      </c>
      <c r="R37" s="127">
        <v>74380</v>
      </c>
      <c r="S37" s="127"/>
      <c r="T37" s="213"/>
      <c r="U37" s="127">
        <f>1+1</f>
        <v>2</v>
      </c>
      <c r="V37" s="127">
        <f>800000+568000</f>
        <v>1368000</v>
      </c>
      <c r="W37" s="127"/>
      <c r="X37" s="127"/>
      <c r="Y37" s="127"/>
      <c r="Z37" s="127"/>
      <c r="AA37" s="127"/>
      <c r="AB37" s="127"/>
      <c r="AC37" s="127">
        <v>1</v>
      </c>
      <c r="AD37" s="213">
        <v>1414868</v>
      </c>
      <c r="AE37" s="5"/>
      <c r="AF37" s="5"/>
      <c r="AG37" s="5"/>
      <c r="AH37" s="5"/>
      <c r="AI37" s="5"/>
      <c r="AJ37" s="5"/>
      <c r="AK37" s="5"/>
      <c r="AL37" s="5"/>
      <c r="AM37" s="5"/>
      <c r="AN37" s="29"/>
      <c r="AO37" s="5"/>
      <c r="AP37" s="5"/>
      <c r="AQ37" s="5"/>
      <c r="AR37" s="29"/>
      <c r="AS37" s="30">
        <f>C37+O37+Q37+U37+AC37</f>
        <v>17</v>
      </c>
      <c r="AT37" s="115">
        <f>D37+P37+R37+V37+AD37</f>
        <v>16312797</v>
      </c>
    </row>
    <row r="38" spans="1:46" ht="16.5" thickTop="1" thickBot="1" x14ac:dyDescent="0.3">
      <c r="A38" s="263"/>
      <c r="B38" s="55" t="s">
        <v>87</v>
      </c>
      <c r="C38" s="87">
        <f>1+1+1+6+3+3</f>
        <v>15</v>
      </c>
      <c r="D38" s="165">
        <f>2117963+824000+537190+1159368+133200+124800+174240+60000+6624000+1652892+926617+720000</f>
        <v>15054270</v>
      </c>
      <c r="E38" s="214">
        <v>2</v>
      </c>
      <c r="F38" s="215">
        <f>92988+548964</f>
        <v>641952</v>
      </c>
      <c r="G38" s="215"/>
      <c r="H38" s="215"/>
      <c r="I38" s="215">
        <f>1+1</f>
        <v>2</v>
      </c>
      <c r="J38" s="215">
        <f>386400+5518600</f>
        <v>5905000</v>
      </c>
      <c r="K38" s="215"/>
      <c r="L38" s="215"/>
      <c r="M38" s="215"/>
      <c r="N38" s="215"/>
      <c r="O38" s="215"/>
      <c r="P38" s="215"/>
      <c r="Q38" s="215"/>
      <c r="R38" s="215"/>
      <c r="S38" s="215"/>
      <c r="T38" s="215"/>
      <c r="U38" s="215"/>
      <c r="V38" s="215"/>
      <c r="W38" s="215">
        <v>1</v>
      </c>
      <c r="X38" s="215">
        <v>13339319</v>
      </c>
      <c r="Y38" s="215"/>
      <c r="Z38" s="215"/>
      <c r="AA38" s="215"/>
      <c r="AB38" s="215"/>
      <c r="AC38" s="215"/>
      <c r="AD38" s="215"/>
      <c r="AE38" s="21"/>
      <c r="AF38" s="21"/>
      <c r="AG38" s="21"/>
      <c r="AH38" s="21"/>
      <c r="AI38" s="21"/>
      <c r="AJ38" s="21"/>
      <c r="AK38" s="215">
        <f>2</f>
        <v>2</v>
      </c>
      <c r="AL38" s="215">
        <f>3079440+11820600</f>
        <v>14900040</v>
      </c>
      <c r="AM38" s="21"/>
      <c r="AN38" s="22"/>
      <c r="AO38" s="21"/>
      <c r="AP38" s="142"/>
      <c r="AQ38" s="21"/>
      <c r="AR38" s="22"/>
      <c r="AS38" s="23">
        <f>C38+E38+I38+W38+AK38</f>
        <v>22</v>
      </c>
      <c r="AT38" s="21">
        <f>D38+F38+J38+X38+AL38</f>
        <v>49840581</v>
      </c>
    </row>
    <row r="39" spans="1:46" ht="15.75" thickTop="1" x14ac:dyDescent="0.25">
      <c r="A39" s="263"/>
      <c r="B39" s="15" t="s">
        <v>36</v>
      </c>
      <c r="C39" s="195">
        <f>C36+C37+C38</f>
        <v>28</v>
      </c>
      <c r="D39" s="196">
        <f>D36+D37+D38</f>
        <v>28929634</v>
      </c>
      <c r="E39" s="216">
        <f>E38</f>
        <v>2</v>
      </c>
      <c r="F39" s="171">
        <f>F38</f>
        <v>641952</v>
      </c>
      <c r="G39" s="171"/>
      <c r="H39" s="171"/>
      <c r="I39" s="171">
        <f>I38</f>
        <v>2</v>
      </c>
      <c r="J39" s="171">
        <f>J38</f>
        <v>5905000</v>
      </c>
      <c r="K39" s="171"/>
      <c r="L39" s="171"/>
      <c r="M39" s="171"/>
      <c r="N39" s="171"/>
      <c r="O39" s="171">
        <f>O37</f>
        <v>1</v>
      </c>
      <c r="P39" s="171">
        <f>P37</f>
        <v>6371901</v>
      </c>
      <c r="Q39" s="171">
        <f>Q37</f>
        <v>1</v>
      </c>
      <c r="R39" s="171">
        <f>R37</f>
        <v>74380</v>
      </c>
      <c r="S39" s="171"/>
      <c r="T39" s="171"/>
      <c r="U39" s="171">
        <f>U37</f>
        <v>2</v>
      </c>
      <c r="V39" s="171">
        <f>V37</f>
        <v>1368000</v>
      </c>
      <c r="W39" s="171">
        <f>W38</f>
        <v>1</v>
      </c>
      <c r="X39" s="171">
        <f>X38</f>
        <v>13339319</v>
      </c>
      <c r="Y39" s="171"/>
      <c r="Z39" s="171"/>
      <c r="AA39" s="171"/>
      <c r="AB39" s="171"/>
      <c r="AC39" s="171">
        <f>AC37</f>
        <v>1</v>
      </c>
      <c r="AD39" s="171">
        <f>AD37</f>
        <v>1414868</v>
      </c>
      <c r="AE39" s="171"/>
      <c r="AF39" s="171"/>
      <c r="AG39" s="171"/>
      <c r="AH39" s="171"/>
      <c r="AI39" s="171"/>
      <c r="AJ39" s="171"/>
      <c r="AK39" s="171">
        <f>AK38</f>
        <v>2</v>
      </c>
      <c r="AL39" s="171">
        <f>AL38</f>
        <v>14900040</v>
      </c>
      <c r="AM39" s="192"/>
      <c r="AN39" s="193"/>
      <c r="AO39" s="171"/>
      <c r="AP39" s="171"/>
      <c r="AQ39" s="192"/>
      <c r="AR39" s="193"/>
      <c r="AS39" s="194">
        <f>AS38+AS37+AS36</f>
        <v>40</v>
      </c>
      <c r="AT39" s="25">
        <f>AT36+AT37+AT38</f>
        <v>72945094</v>
      </c>
    </row>
    <row r="42" spans="1:46" x14ac:dyDescent="0.25">
      <c r="X42" s="68"/>
      <c r="AD42" s="68"/>
    </row>
    <row r="44" spans="1:46" x14ac:dyDescent="0.25">
      <c r="X44" s="68"/>
    </row>
  </sheetData>
  <mergeCells count="36">
    <mergeCell ref="A3:A5"/>
    <mergeCell ref="AC3:AR3"/>
    <mergeCell ref="Y4:Z4"/>
    <mergeCell ref="A36:A39"/>
    <mergeCell ref="A32:A35"/>
    <mergeCell ref="A24:A27"/>
    <mergeCell ref="AG4:AH4"/>
    <mergeCell ref="W4:X4"/>
    <mergeCell ref="S4:T4"/>
    <mergeCell ref="A28:A31"/>
    <mergeCell ref="A21:A23"/>
    <mergeCell ref="U4:V4"/>
    <mergeCell ref="Q4:R4"/>
    <mergeCell ref="A18:A20"/>
    <mergeCell ref="A6:A8"/>
    <mergeCell ref="A9:A11"/>
    <mergeCell ref="A12:A14"/>
    <mergeCell ref="A15:A17"/>
    <mergeCell ref="AS3:AT4"/>
    <mergeCell ref="C3:D3"/>
    <mergeCell ref="AC4:AD4"/>
    <mergeCell ref="AM4:AN4"/>
    <mergeCell ref="AQ4:AR4"/>
    <mergeCell ref="C4:D4"/>
    <mergeCell ref="E4:F4"/>
    <mergeCell ref="I4:J4"/>
    <mergeCell ref="K4:L4"/>
    <mergeCell ref="M4:N4"/>
    <mergeCell ref="O4:P4"/>
    <mergeCell ref="G4:H4"/>
    <mergeCell ref="AE4:AF4"/>
    <mergeCell ref="AO4:AP4"/>
    <mergeCell ref="AK4:AL4"/>
    <mergeCell ref="AI4:AJ4"/>
    <mergeCell ref="AA4:AB4"/>
    <mergeCell ref="B3:B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3" ma:contentTypeDescription="Izveidot jaunu dokumentu." ma:contentTypeScope="" ma:versionID="ee41d0e89ba949912c99576118efd6c5">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6b004f936b5e499483dbae4105ce1642"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Props1.xml><?xml version="1.0" encoding="utf-8"?>
<ds:datastoreItem xmlns:ds="http://schemas.openxmlformats.org/officeDocument/2006/customXml" ds:itemID="{2CB0B988-FD90-461F-A99B-B180AA073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998ca-8e64-45f6-9a2d-c1086fce7cc6"/>
    <ds:schemaRef ds:uri="2bd09435-a6f8-4b25-a728-35d6bfb88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58C776-236D-41FF-96B7-F93DEE486F42}">
  <ds:schemaRefs>
    <ds:schemaRef ds:uri="http://schemas.microsoft.com/sharepoint/v3/contenttype/forms"/>
  </ds:schemaRefs>
</ds:datastoreItem>
</file>

<file path=customXml/itemProps3.xml><?xml version="1.0" encoding="utf-8"?>
<ds:datastoreItem xmlns:ds="http://schemas.openxmlformats.org/officeDocument/2006/customXml" ds:itemID="{D7304F58-3E47-4B2A-95E8-E94AD2B97BF7}">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ADJIL_2021_gads</vt:lpstr>
      <vt:lpstr>Satura_rādītājs_metodoloģija</vt:lpstr>
      <vt:lpstr>I. Pavisam_2021_kopā_tab</vt:lpstr>
      <vt:lpstr>II. Diagramma_pa_gadiem</vt:lpstr>
      <vt:lpstr>III. Decentralizetie_kopa_tab</vt:lpstr>
      <vt:lpstr>IV. Virs_zem_%_pa_gadiem</vt:lpstr>
      <vt:lpstr>V. Centralizētie_kopā_tab</vt:lpstr>
      <vt:lpstr>VI. Dec_centr_%_pret_kopā</vt:lpstr>
      <vt:lpstr>VII. Valstiskā_piederība_tab</vt:lpstr>
      <vt:lpstr>VIII. Dinamika_valstu_dalījumā</vt:lpstr>
      <vt:lpstr>IX. Procedūras_tab</vt:lpstr>
      <vt:lpstr>X.Procedūru_dinamika</vt:lpstr>
      <vt:lpstr>XI. CPV_kodi_tab</vt:lpstr>
      <vt:lpstr>XII. CPV_kodi_%_dinamika</vt:lpstr>
      <vt:lpstr>Secinājumi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2019-07-22T12:18:28Z</cp:lastPrinted>
  <dcterms:created xsi:type="dcterms:W3CDTF">2016-07-04T07:52:49Z</dcterms:created>
  <dcterms:modified xsi:type="dcterms:W3CDTF">2022-10-28T04:46:57Z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2285000</vt:r8>
  </property>
  <property fmtid="{D5CDD505-2E9C-101B-9397-08002B2CF9AE}" pid="4" name="MediaServiceImageTags">
    <vt:lpwstr/>
  </property>
</Properties>
</file>